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hille\Desktop\"/>
    </mc:Choice>
  </mc:AlternateContent>
  <xr:revisionPtr revIDLastSave="0" documentId="8_{78B7AAE8-2639-47DC-8ED2-17246F9606EC}" xr6:coauthVersionLast="36" xr6:coauthVersionMax="36" xr10:uidLastSave="{00000000-0000-0000-0000-000000000000}"/>
  <workbookProtection workbookAlgorithmName="SHA-512" workbookHashValue="QiBkH3CSvGKF9wbegGIjTTv/G658zkxMUYF+7dzlSgJEpVkChNxCLaTs2Fk/Gb/Z70uFEF8symBQUBtJVpL3NA==" workbookSaltValue="5fRd8FY9qUHfFYoHv8eqDw==" workbookSpinCount="100000" lockStructure="1"/>
  <bookViews>
    <workbookView xWindow="15" yWindow="-18120" windowWidth="29040" windowHeight="17640" tabRatio="746" xr2:uid="{00000000-000D-0000-FFFF-FFFF00000000}"/>
  </bookViews>
  <sheets>
    <sheet name="ALADIN-Tool" sheetId="14" r:id="rId1"/>
    <sheet name="1_Überblick Berechnungsschritte" sheetId="15" state="hidden" r:id="rId2"/>
    <sheet name="2a_Ermittlung_Lastenradverkäufe" sheetId="11" state="hidden" r:id="rId3"/>
    <sheet name="2b_Ermittlung_Besitzquote" sheetId="1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4" l="1"/>
  <c r="E4" i="14" s="1"/>
  <c r="E19" i="13"/>
  <c r="B54" i="11"/>
  <c r="B19" i="13"/>
  <c r="B57" i="11"/>
  <c r="E3" i="13"/>
  <c r="G4" i="11"/>
  <c r="H4" i="11" s="1"/>
  <c r="I4" i="11" s="1"/>
  <c r="J4" i="11" s="1"/>
  <c r="K4" i="11" s="1"/>
  <c r="L4" i="11" s="1"/>
  <c r="M4" i="11" s="1"/>
  <c r="N4" i="11" s="1"/>
  <c r="O4" i="11" s="1"/>
  <c r="P4" i="11" s="1"/>
  <c r="B58" i="11" l="1"/>
  <c r="E4" i="13"/>
  <c r="E6" i="13"/>
  <c r="E11" i="13"/>
  <c r="E9" i="13"/>
  <c r="E7" i="13"/>
  <c r="E8" i="13"/>
  <c r="E5" i="13"/>
  <c r="E10" i="13"/>
  <c r="C21" i="13" l="1"/>
  <c r="E21" i="13" s="1"/>
  <c r="C27" i="13"/>
  <c r="E27" i="13" s="1"/>
  <c r="C22" i="13"/>
  <c r="E22" i="13" s="1"/>
  <c r="C19" i="13"/>
  <c r="C23" i="13"/>
  <c r="E23" i="13" s="1"/>
  <c r="C20" i="13"/>
  <c r="E20" i="13" s="1"/>
  <c r="C26" i="13"/>
  <c r="E26" i="13" s="1"/>
  <c r="C25" i="13"/>
  <c r="E25" i="13" s="1"/>
  <c r="C24" i="13"/>
  <c r="E24" i="13" s="1"/>
  <c r="S24" i="11"/>
  <c r="M41" i="11" l="1"/>
  <c r="M43" i="11" s="1"/>
  <c r="L41" i="11"/>
  <c r="L43" i="11" s="1"/>
  <c r="C40" i="11"/>
  <c r="B40" i="11"/>
  <c r="D38" i="11"/>
  <c r="E38" i="11" s="1"/>
  <c r="P25" i="11"/>
  <c r="AA24" i="11"/>
  <c r="Z24" i="11"/>
  <c r="Y24" i="11"/>
  <c r="X24" i="11"/>
  <c r="W24" i="11"/>
  <c r="V24" i="11"/>
  <c r="U24" i="11"/>
  <c r="T24" i="11"/>
  <c r="R24" i="11"/>
  <c r="Q24" i="11"/>
  <c r="Q26" i="11" s="1"/>
  <c r="P24" i="11"/>
  <c r="O24" i="11"/>
  <c r="N24" i="11"/>
  <c r="M24" i="11"/>
  <c r="Q21" i="11"/>
  <c r="P21" i="11"/>
  <c r="O21" i="11"/>
  <c r="N21" i="11"/>
  <c r="M21" i="11"/>
  <c r="R20" i="11"/>
  <c r="R19" i="11"/>
  <c r="R18" i="11"/>
  <c r="S18" i="11" s="1"/>
  <c r="T18" i="11" s="1"/>
  <c r="U18" i="11" s="1"/>
  <c r="V18" i="11" s="1"/>
  <c r="W18" i="11" s="1"/>
  <c r="X18" i="11" s="1"/>
  <c r="Y18" i="11" s="1"/>
  <c r="Z18" i="11" s="1"/>
  <c r="AA18" i="11" s="1"/>
  <c r="D10" i="11"/>
  <c r="C10" i="11"/>
  <c r="B10" i="11"/>
  <c r="G9" i="11"/>
  <c r="F6" i="11"/>
  <c r="F10" i="11" s="1"/>
  <c r="E6" i="11"/>
  <c r="E10" i="11" s="1"/>
  <c r="D6" i="11"/>
  <c r="C6" i="11"/>
  <c r="B6" i="11"/>
  <c r="G5" i="11"/>
  <c r="H5" i="11" s="1"/>
  <c r="I5" i="11" s="1"/>
  <c r="J5" i="11" s="1"/>
  <c r="K5" i="11" s="1"/>
  <c r="L5" i="11" s="1"/>
  <c r="M5" i="11" s="1"/>
  <c r="N5" i="11" s="1"/>
  <c r="O5" i="11" s="1"/>
  <c r="P5" i="11" s="1"/>
  <c r="R21" i="11" l="1"/>
  <c r="G6" i="11"/>
  <c r="G10" i="11" s="1"/>
  <c r="C41" i="11"/>
  <c r="C43" i="11" s="1"/>
  <c r="B41" i="11"/>
  <c r="B43" i="11" s="1"/>
  <c r="E40" i="11"/>
  <c r="F38" i="11"/>
  <c r="D40" i="11"/>
  <c r="L42" i="11"/>
  <c r="M42" i="11"/>
  <c r="R26" i="11"/>
  <c r="R25" i="11" s="1"/>
  <c r="Q25" i="11"/>
  <c r="C42" i="11" l="1"/>
  <c r="S26" i="11"/>
  <c r="S25" i="11" s="1"/>
  <c r="D41" i="11"/>
  <c r="B42" i="11"/>
  <c r="G38" i="11"/>
  <c r="F40" i="11"/>
  <c r="H6" i="11"/>
  <c r="H10" i="11" s="1"/>
  <c r="T26" i="11" l="1"/>
  <c r="D43" i="11"/>
  <c r="D42" i="11"/>
  <c r="E41" i="11"/>
  <c r="H38" i="11"/>
  <c r="G40" i="11"/>
  <c r="U26" i="11"/>
  <c r="T25" i="11"/>
  <c r="I6" i="11"/>
  <c r="I10" i="11" s="1"/>
  <c r="F41" i="11" l="1"/>
  <c r="E43" i="11"/>
  <c r="E42" i="11"/>
  <c r="I38" i="11"/>
  <c r="H40" i="11"/>
  <c r="V26" i="11"/>
  <c r="U25" i="11"/>
  <c r="J6" i="11"/>
  <c r="J10" i="11" s="1"/>
  <c r="F43" i="11" l="1"/>
  <c r="F42" i="11"/>
  <c r="G41" i="11"/>
  <c r="I40" i="11"/>
  <c r="J38" i="11"/>
  <c r="W26" i="11"/>
  <c r="V25" i="11"/>
  <c r="K6" i="11"/>
  <c r="K10" i="11" s="1"/>
  <c r="H41" i="11" l="1"/>
  <c r="G43" i="11"/>
  <c r="G42" i="11"/>
  <c r="K38" i="11"/>
  <c r="J40" i="11"/>
  <c r="X26" i="11"/>
  <c r="W25" i="11"/>
  <c r="L6" i="11"/>
  <c r="L10" i="11" s="1"/>
  <c r="H43" i="11" l="1"/>
  <c r="H42" i="11"/>
  <c r="I41" i="11"/>
  <c r="L38" i="11"/>
  <c r="K40" i="11"/>
  <c r="X25" i="11"/>
  <c r="Y26" i="11"/>
  <c r="M6" i="11"/>
  <c r="M10" i="11" s="1"/>
  <c r="I43" i="11" l="1"/>
  <c r="I42" i="11"/>
  <c r="K41" i="11"/>
  <c r="J41" i="11"/>
  <c r="M38" i="11"/>
  <c r="M40" i="11" s="1"/>
  <c r="L40" i="11"/>
  <c r="Z26" i="11"/>
  <c r="Y25" i="11"/>
  <c r="N6" i="11"/>
  <c r="N10" i="11" s="1"/>
  <c r="J43" i="11" l="1"/>
  <c r="J42" i="11"/>
  <c r="K43" i="11"/>
  <c r="K42" i="11"/>
  <c r="AA26" i="11"/>
  <c r="AA25" i="11" s="1"/>
  <c r="Z25" i="11"/>
  <c r="O6" i="11"/>
  <c r="O10" i="11" s="1"/>
  <c r="P6" i="11"/>
  <c r="P10" i="11" s="1"/>
</calcChain>
</file>

<file path=xl/sharedStrings.xml><?xml version="1.0" encoding="utf-8"?>
<sst xmlns="http://schemas.openxmlformats.org/spreadsheetml/2006/main" count="237" uniqueCount="122">
  <si>
    <t>Lastenräder mit E-Antrieb</t>
  </si>
  <si>
    <t>Lastenräder ohne E-Antrieb</t>
  </si>
  <si>
    <t>k.A.</t>
  </si>
  <si>
    <t>Wachstumsrate im Vergleich zum Vorjahr/mit E-Antrieb</t>
  </si>
  <si>
    <t>Wachstumsrate im Vergleich zum Vorjahr/ohne E-Antrieb</t>
  </si>
  <si>
    <t>Quelle: Datenbasis bis 2020: Zweirad-Industrie-Verband (ZIV); eigene Berechnung</t>
  </si>
  <si>
    <t>Verkaufte Fahrräder (absolut)</t>
  </si>
  <si>
    <t>Anteil verkaufte Lastenräder (in %)</t>
  </si>
  <si>
    <t>Prognose</t>
  </si>
  <si>
    <t>Summe verkaufte Lastenräder</t>
  </si>
  <si>
    <t>Anzahl Fahrräder in Deutschland</t>
  </si>
  <si>
    <t>https://www.ziv-zweirad.de/uploads/media/PM_2021_10.03._ZIV-Praesentation_10.03.2021_mit_Text.pdf</t>
  </si>
  <si>
    <t xml:space="preserve">Wachstumsrate </t>
  </si>
  <si>
    <t>Anteil Lastenräder (Prozent)</t>
  </si>
  <si>
    <t>Anteil Lastenräder (absolut)</t>
  </si>
  <si>
    <t>davon neue Räder (absolut)</t>
  </si>
  <si>
    <t>"abgeschaffte" Räder</t>
  </si>
  <si>
    <t>Anteil "abgeschaffte" Lastenräder (Prozent)</t>
  </si>
  <si>
    <t>"abgeschaffte" Lastenräder (absolut)</t>
  </si>
  <si>
    <t>neu angeschaffte Lastenräder</t>
  </si>
  <si>
    <t>Anteil Lastenräder in 2019: Fahrradmonitor des SINUS-Instituts 2019</t>
  </si>
  <si>
    <t>Anzahl Fahrräder: Zahlen-Daten-Fakten zum Fahrradmarkt in Deutschland 2020, Seite 10; ZIV</t>
  </si>
  <si>
    <r>
      <rPr>
        <i/>
        <u/>
        <sz val="10"/>
        <color theme="1"/>
        <rFont val="Calibri"/>
        <family val="2"/>
        <scheme val="minor"/>
      </rPr>
      <t>Quelle:</t>
    </r>
    <r>
      <rPr>
        <i/>
        <sz val="10"/>
        <color theme="1"/>
        <rFont val="Calibri"/>
        <family val="2"/>
        <scheme val="minor"/>
      </rPr>
      <t xml:space="preserve"> eigene Berechnungen</t>
    </r>
  </si>
  <si>
    <t>Erklärung der Werte</t>
  </si>
  <si>
    <t>Ausgangsdaten bis 2020 vom ZIV; ab 2021 Berechnung auf Basis der angenommenen Wachstumsraten</t>
  </si>
  <si>
    <t>Bis 2020: eigene Berechnung jeweils auf Basis des Vorjahreswerts; ab 2021 geschätzter dann abnehmender Wert wg. Sättigung.</t>
  </si>
  <si>
    <t xml:space="preserve">Ab 2021: eigene Annahme </t>
  </si>
  <si>
    <t>Bis 2020: reale Zahlen vom ZIV; ab 2021 Mittelwert aus den 5 Jahren davor</t>
  </si>
  <si>
    <t xml:space="preserve">Eigene Berechnung </t>
  </si>
  <si>
    <t>Bis 2020: reale Werte vom ZIV; ab 2021 eigene Berechnung auf Basis der angenommenen Wachstumsrate</t>
  </si>
  <si>
    <t>Bis 2020: reale Werte vom ZIV; ab 2021 Mittelwert aus den Vorjahren</t>
  </si>
  <si>
    <t>siehe Tabelle 1</t>
  </si>
  <si>
    <t>eigene Berechnung: Differenz aus absoluter Fahrradanzahl (Wachstum) und verkauften Rädern</t>
  </si>
  <si>
    <t>eigene Annahme</t>
  </si>
  <si>
    <t>Prognose Lastenradverkäufe ab 2021 (Tabelle 1)</t>
  </si>
  <si>
    <t>Prognose Anteil Lastenräder am Gesamtfahrradbestand (Tabelle 2)</t>
  </si>
  <si>
    <t>eigene Berechnung aus neu angeschaffte Lastenräder und Abschaffungsrate (&gt; fraglich ob das richtiger Gedankengang ist???)</t>
  </si>
  <si>
    <t>eigene Berechnung</t>
  </si>
  <si>
    <t>Wert 2019 ermittelt über Fahrradmonitor (siehe Nebenrechnung unten); anschließend jeweils aus Vorjahreswert und Differenz aus verkaufte Lastenräder und abschaffte Lastenräder</t>
  </si>
  <si>
    <t>Anteil Fahrradnutzer zwischen 14 und 69 Jahren in D</t>
  </si>
  <si>
    <t>Haushalte mit mind. einem Fahrrad</t>
  </si>
  <si>
    <t xml:space="preserve"> Fahrradmonitor</t>
  </si>
  <si>
    <t>Anzahl Haushalte in D</t>
  </si>
  <si>
    <t>Anzahl Haushalte mit Fahrrädern</t>
  </si>
  <si>
    <t>Anteil Lastenradnutzer an allen Befragten (insgesamt)</t>
  </si>
  <si>
    <t>Anteil Lastenradnutzer zw. 14 und 69 in D</t>
  </si>
  <si>
    <t>Statistisches Bundesamt; 2019</t>
  </si>
  <si>
    <t>durchgehend eigene Berechnung Wert 2019 ermittelt über Befragungsergebnis Fahrradmonitor; siehe Nebenrechnung unten; Argumentation warum das Ergebnis gut passt: 10 % der Gesamtbevölkerung können sich laut Fahrradmonitor vorstellen ein Lastenrad anzuschaffen</t>
  </si>
  <si>
    <t>Anzahl Einwohner*innen in D</t>
  </si>
  <si>
    <t>Wert 2019: Statistisches Bundesamt; Wert ab 2020 Trendszenario Statitisches Bundesamt (bis 2040)</t>
  </si>
  <si>
    <t xml:space="preserve">Anzahl Fahrräder in Deutschland </t>
  </si>
  <si>
    <t xml:space="preserve">Anzahl Lastenräder in Deutschland </t>
  </si>
  <si>
    <t>Anzahl Lastenrad pro 1.000 Einwohner</t>
  </si>
  <si>
    <t>Anzahl Fahrräder pro 1.000 Einwohner</t>
  </si>
  <si>
    <t>siehe Tabelle 2</t>
  </si>
  <si>
    <t>Gründerzeitliche Mischquartiere</t>
  </si>
  <si>
    <t>Ländlich geprägte Ortslagen/Dorfkerne</t>
  </si>
  <si>
    <t>Einfamilienhausgebiete im ländlich geprägten Raum</t>
  </si>
  <si>
    <t xml:space="preserve">Einfamilienhausgebiete in Ballungsrandlagen </t>
  </si>
  <si>
    <t>Mehrfamilienhausgebiete nach 1990 in Ballungsrandlagen</t>
  </si>
  <si>
    <t>Innerstädtischer Neubau nach 2000 in Großstädten</t>
  </si>
  <si>
    <t>Historische Ortskerne</t>
  </si>
  <si>
    <t>Quellen Ortstypen: Veränderte und ergänzte Ableitung nach</t>
  </si>
  <si>
    <t>https://www.ssoar.info/ssoar/bitstream/handle/document/38016/ssoar-2007-knabe-Images_grostadtischer_Quartierstypen_empirische_Befunde.pdf?sequence=1&amp;isAllowed=y&amp;lnkname=ssoar-2007-knabe-Images_grostadtischer_Quartierstypen_empirische_Befunde.pdf</t>
  </si>
  <si>
    <t xml:space="preserve">https://www.mhkbg.nrw/sites/default/files/media/document/file/252_steckbrief_quartierstypen_rw_191213.pdf </t>
  </si>
  <si>
    <t>Anzahl gewerblich genutzte Lastenräder pro 1.000 Einwohner*innen (50 %)</t>
  </si>
  <si>
    <t>Anzahl privat genutzte Lastenräder pro 1.000 Einwohner*innen (50 %)</t>
  </si>
  <si>
    <t>Tabelle 3</t>
  </si>
  <si>
    <t>Eigene Annahme nach Überlegung das ein gewisser Anteil aktuell nicht privat genutzt wird (z.B. Post, Sharing-Systeme, etc.)</t>
  </si>
  <si>
    <t>Fahrradmonitor (problematisch: 14-69 Jahre, da anschließend die Gesamtbevölkerung zur Rechnung genommen!)</t>
  </si>
  <si>
    <t>Radverkehrsanteil am Modal Split</t>
  </si>
  <si>
    <t>Anzahl LR pro 1.000 in 2030</t>
  </si>
  <si>
    <t>sehr hoch</t>
  </si>
  <si>
    <t>hoch</t>
  </si>
  <si>
    <t>durchschnittlich</t>
  </si>
  <si>
    <t>niedrig</t>
  </si>
  <si>
    <t>sehr niedrig</t>
  </si>
  <si>
    <t>Sharingaffinität</t>
  </si>
  <si>
    <t>Kaufbereitschaft (Lastenradaffinität/Sozio-ökonomischer Status)</t>
  </si>
  <si>
    <t>Lastenräder pro 1.000 Einwohner*innen in Deutschland (Tabelle 3)</t>
  </si>
  <si>
    <t>Besitzquote</t>
  </si>
  <si>
    <t>Anzahl Stellflächen pro 1000 EW in 2030</t>
  </si>
  <si>
    <t>Werte sollen nur im Ausnahmefall von den Kommunen angepasst werden können</t>
  </si>
  <si>
    <t xml:space="preserve">Prognose Lastenradverkäufe ab 2021 </t>
  </si>
  <si>
    <t>Nebenrechnung Lastenradbestand in 2019</t>
  </si>
  <si>
    <t>Herleitung Lastenradbestand 2019</t>
  </si>
  <si>
    <t>Nebenrechnung</t>
  </si>
  <si>
    <t xml:space="preserve">Prognose Anteil Lastenräder am Gesamtfahrradbestand </t>
  </si>
  <si>
    <t xml:space="preserve">Lastenräder pro 1.000 Einwohner*innen in Deutschland </t>
  </si>
  <si>
    <t>Tabelle 4</t>
  </si>
  <si>
    <t>Quartiersspezifische Besitzquote ab 2021 (Tabelle 4)</t>
  </si>
  <si>
    <t>Quartiersspezifischer Stellflächenbedarf ab 2021 (Tabelle 5)</t>
  </si>
  <si>
    <t>Quartiersspezifischen Besitzquote ab 2021</t>
  </si>
  <si>
    <t>Tabelle 6</t>
  </si>
  <si>
    <t>Tabelle 1</t>
  </si>
  <si>
    <t>Tabelle 2</t>
  </si>
  <si>
    <t>Tabelle 5</t>
  </si>
  <si>
    <t xml:space="preserve">sehr hohe angenommene Besitzquote </t>
  </si>
  <si>
    <t xml:space="preserve">durchschnittliche angenommene Besitzquote </t>
  </si>
  <si>
    <t xml:space="preserve">niedrige angenommene Besitzquote </t>
  </si>
  <si>
    <t xml:space="preserve">sehr niedrige angenommene Besitzquote </t>
  </si>
  <si>
    <t xml:space="preserve">hohe angenommene Besitzquote </t>
  </si>
  <si>
    <t>Private Flächenverfügbarkeit</t>
  </si>
  <si>
    <t xml:space="preserve">Quartiersspezifische Stellflächenbedarf ab 2021 </t>
  </si>
  <si>
    <t>eigene Berechnung, Schlussfolgerung: 1,56 % der Haushalte mit Fahrrädern haben ein Lastenrad &gt; Anzahl Haushalte mit Lastenrad=Anzahl Lastenräder (Annahme: pro Haushalt nicht mehr als ein Lastenrad)</t>
  </si>
  <si>
    <t>Lastenradbestand in 2019</t>
  </si>
  <si>
    <t xml:space="preserve">eigene Berechnung </t>
  </si>
  <si>
    <t>Quartierstyp</t>
  </si>
  <si>
    <t>Bitte wählen</t>
  </si>
  <si>
    <t>Die Bedarfsermittlung mit dem ALDIN-Tool erfolgt basierend auf</t>
  </si>
  <si>
    <t>Überblick ALADIN-Tool  - Berechnungsschritte</t>
  </si>
  <si>
    <t>Eine hohe Kaufbereitschaft und ein hoher Radverkehrsanteil am Modal Split korrelieren positiv mit der Besitzquote; eine hohe Sharingaffinität führt dagegen zu einer niedrigen angenommenen Besitzquote.</t>
  </si>
  <si>
    <t>Quartiersspezifische Anzahl LR pro 1.000 in 2030</t>
  </si>
  <si>
    <t>Benötigte Stellflächen (Langzeitparken) für private Lastenräder in 2030 nach Quartierstyp (ALADIN-Tool)</t>
  </si>
  <si>
    <t>Quelle: eigene Berechnung</t>
  </si>
  <si>
    <t>Maximal umzuwidmende Pkw-Parkstände in 2030</t>
  </si>
  <si>
    <t>Benötigte Anzahl Lastenradparkstände im Quartier in 2030</t>
  </si>
  <si>
    <t>Wohnsiedlungen der 1960er bis 1980er Jahre</t>
  </si>
  <si>
    <t>Wohnsiedlungen der 1920er bis 1960er Jahre</t>
  </si>
  <si>
    <t>Benötigte Stellflächen (Langzeitparken) für private Lastenräder in 2030 nach Quartierstyp</t>
  </si>
  <si>
    <t>Bewohner*innen im Quartier</t>
  </si>
  <si>
    <t>Hier Quartierstyp und Anzahl der Bewohner*innen angeben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</si>
</sst>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_-;\-* #,##0_-;_-* &quot;-&quot;_-;_-@_-"/>
    <numFmt numFmtId="165" formatCode="_-* #,##0.00_-;\-* #,##0.00_-;_-* &quot;-&quot;??_-;_-@_-"/>
    <numFmt numFmtId="166" formatCode="0.0%"/>
    <numFmt numFmtId="167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i/>
      <u/>
      <sz val="11"/>
      <color theme="3" tint="-0.499984740745262"/>
      <name val="Calibri"/>
      <family val="2"/>
      <scheme val="minor"/>
    </font>
    <font>
      <b/>
      <i/>
      <sz val="11"/>
      <color theme="3" tint="-0.499984740745262"/>
      <name val="Calibri"/>
      <family val="2"/>
      <scheme val="minor"/>
    </font>
    <font>
      <i/>
      <u/>
      <sz val="10"/>
      <color theme="3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2F7FC"/>
        <bgColor indexed="64"/>
      </patternFill>
    </fill>
    <fill>
      <patternFill patternType="solid">
        <fgColor rgb="FF8DC6BF"/>
        <bgColor indexed="64"/>
      </patternFill>
    </fill>
    <fill>
      <patternFill patternType="solid">
        <fgColor rgb="FFEEF6F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14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wrapText="1"/>
    </xf>
    <xf numFmtId="3" fontId="0" fillId="0" borderId="1" xfId="0" applyNumberFormat="1" applyBorder="1"/>
    <xf numFmtId="3" fontId="0" fillId="4" borderId="1" xfId="0" applyNumberFormat="1" applyFill="1" applyBorder="1" applyAlignment="1">
      <alignment horizontal="center"/>
    </xf>
    <xf numFmtId="0" fontId="2" fillId="0" borderId="0" xfId="0" applyFont="1"/>
    <xf numFmtId="9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1" xfId="0" applyNumberForma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4" fillId="0" borderId="0" xfId="7" applyNumberFormat="1" applyFont="1" applyFill="1" applyBorder="1" applyAlignment="1" applyProtection="1">
      <alignment horizontal="center" vertical="center"/>
    </xf>
    <xf numFmtId="3" fontId="4" fillId="0" borderId="0" xfId="7" applyNumberFormat="1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/>
    <xf numFmtId="0" fontId="0" fillId="6" borderId="1" xfId="0" applyFont="1" applyFill="1" applyBorder="1" applyAlignment="1">
      <alignment horizontal="center"/>
    </xf>
    <xf numFmtId="0" fontId="0" fillId="0" borderId="1" xfId="0" applyFont="1" applyBorder="1" applyAlignment="1">
      <alignment wrapText="1"/>
    </xf>
    <xf numFmtId="166" fontId="5" fillId="7" borderId="1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1" fillId="0" borderId="1" xfId="0" applyFont="1" applyBorder="1"/>
    <xf numFmtId="0" fontId="1" fillId="0" borderId="0" xfId="0" applyFont="1"/>
    <xf numFmtId="0" fontId="0" fillId="6" borderId="1" xfId="0" applyFill="1" applyBorder="1" applyAlignment="1">
      <alignment horizontal="center"/>
    </xf>
    <xf numFmtId="3" fontId="4" fillId="0" borderId="1" xfId="7" applyNumberFormat="1" applyFont="1" applyFill="1" applyBorder="1" applyAlignment="1" applyProtection="1">
      <alignment horizontal="center"/>
    </xf>
    <xf numFmtId="166" fontId="4" fillId="0" borderId="1" xfId="7" applyNumberFormat="1" applyFont="1" applyFill="1" applyBorder="1" applyAlignment="1" applyProtection="1">
      <alignment horizontal="center"/>
    </xf>
    <xf numFmtId="0" fontId="5" fillId="0" borderId="0" xfId="0" applyFont="1" applyFill="1" applyBorder="1"/>
    <xf numFmtId="0" fontId="0" fillId="0" borderId="1" xfId="0" applyFont="1" applyFill="1" applyBorder="1" applyAlignment="1">
      <alignment wrapText="1"/>
    </xf>
    <xf numFmtId="10" fontId="0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6" fontId="7" fillId="7" borderId="1" xfId="7" applyNumberFormat="1" applyFont="1" applyFill="1" applyBorder="1" applyAlignment="1" applyProtection="1">
      <alignment horizontal="center"/>
    </xf>
    <xf numFmtId="0" fontId="1" fillId="5" borderId="2" xfId="0" applyFont="1" applyFill="1" applyBorder="1" applyAlignment="1">
      <alignment horizontal="center"/>
    </xf>
    <xf numFmtId="3" fontId="4" fillId="0" borderId="5" xfId="7" applyNumberFormat="1" applyFont="1" applyFill="1" applyBorder="1" applyAlignment="1" applyProtection="1">
      <alignment horizontal="center"/>
    </xf>
    <xf numFmtId="0" fontId="0" fillId="0" borderId="1" xfId="0" applyFill="1" applyBorder="1"/>
    <xf numFmtId="0" fontId="0" fillId="0" borderId="0" xfId="0" applyAlignment="1">
      <alignment wrapText="1"/>
    </xf>
    <xf numFmtId="0" fontId="2" fillId="0" borderId="0" xfId="0" applyFont="1" applyBorder="1" applyAlignment="1">
      <alignment wrapText="1"/>
    </xf>
    <xf numFmtId="0" fontId="9" fillId="0" borderId="0" xfId="8" applyFont="1"/>
    <xf numFmtId="9" fontId="0" fillId="7" borderId="1" xfId="0" applyNumberFormat="1" applyFill="1" applyBorder="1" applyAlignment="1"/>
    <xf numFmtId="0" fontId="0" fillId="0" borderId="1" xfId="0" applyBorder="1" applyAlignment="1">
      <alignment horizontal="left" vertical="top" wrapText="1"/>
    </xf>
    <xf numFmtId="167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67" fontId="0" fillId="0" borderId="1" xfId="0" applyNumberFormat="1" applyBorder="1"/>
    <xf numFmtId="0" fontId="0" fillId="9" borderId="1" xfId="0" applyFill="1" applyBorder="1" applyAlignment="1">
      <alignment horizontal="left" wrapText="1"/>
    </xf>
    <xf numFmtId="0" fontId="4" fillId="0" borderId="1" xfId="0" applyFont="1" applyFill="1" applyBorder="1"/>
    <xf numFmtId="0" fontId="4" fillId="0" borderId="0" xfId="0" applyFont="1"/>
    <xf numFmtId="167" fontId="10" fillId="4" borderId="1" xfId="0" applyNumberFormat="1" applyFont="1" applyFill="1" applyBorder="1"/>
    <xf numFmtId="167" fontId="7" fillId="7" borderId="1" xfId="0" applyNumberFormat="1" applyFont="1" applyFill="1" applyBorder="1"/>
    <xf numFmtId="0" fontId="0" fillId="0" borderId="0" xfId="0" applyBorder="1"/>
    <xf numFmtId="0" fontId="0" fillId="0" borderId="0" xfId="0" applyFill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0" fontId="14" fillId="0" borderId="0" xfId="0" applyFont="1"/>
    <xf numFmtId="9" fontId="0" fillId="0" borderId="1" xfId="0" applyNumberFormat="1" applyFont="1" applyBorder="1" applyAlignment="1">
      <alignment horizontal="center"/>
    </xf>
    <xf numFmtId="0" fontId="1" fillId="1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9" fontId="0" fillId="0" borderId="0" xfId="0" applyNumberFormat="1"/>
    <xf numFmtId="9" fontId="0" fillId="0" borderId="1" xfId="0" applyNumberFormat="1" applyBorder="1"/>
    <xf numFmtId="167" fontId="0" fillId="0" borderId="1" xfId="0" applyNumberFormat="1" applyBorder="1" applyAlignment="1">
      <alignment horizontal="center" vertical="center" wrapText="1"/>
    </xf>
    <xf numFmtId="9" fontId="0" fillId="0" borderId="0" xfId="9" applyFont="1"/>
    <xf numFmtId="3" fontId="0" fillId="0" borderId="0" xfId="0" applyNumberFormat="1"/>
    <xf numFmtId="9" fontId="0" fillId="0" borderId="1" xfId="0" applyNumberFormat="1" applyFill="1" applyBorder="1" applyAlignment="1">
      <alignment horizontal="center"/>
    </xf>
    <xf numFmtId="167" fontId="0" fillId="0" borderId="0" xfId="0" applyNumberFormat="1"/>
    <xf numFmtId="0" fontId="2" fillId="0" borderId="1" xfId="0" applyFont="1" applyBorder="1" applyAlignment="1">
      <alignment horizontal="left" wrapText="1"/>
    </xf>
    <xf numFmtId="9" fontId="0" fillId="0" borderId="1" xfId="0" applyNumberFormat="1" applyFont="1" applyBorder="1" applyAlignment="1">
      <alignment horizontal="center"/>
    </xf>
    <xf numFmtId="9" fontId="0" fillId="0" borderId="1" xfId="0" applyNumberFormat="1" applyFill="1" applyBorder="1" applyAlignment="1"/>
    <xf numFmtId="3" fontId="0" fillId="0" borderId="1" xfId="0" applyNumberFormat="1" applyFill="1" applyBorder="1" applyAlignment="1">
      <alignment horizontal="center"/>
    </xf>
    <xf numFmtId="3" fontId="0" fillId="0" borderId="0" xfId="0" applyNumberFormat="1" applyFill="1"/>
    <xf numFmtId="0" fontId="2" fillId="0" borderId="0" xfId="0" applyFont="1" applyBorder="1" applyAlignment="1">
      <alignment horizontal="center"/>
    </xf>
    <xf numFmtId="0" fontId="0" fillId="0" borderId="0" xfId="0" applyFill="1" applyBorder="1" applyAlignment="1">
      <alignment wrapText="1"/>
    </xf>
    <xf numFmtId="10" fontId="0" fillId="0" borderId="0" xfId="0" applyNumberFormat="1" applyBorder="1" applyAlignment="1">
      <alignment horizontal="center"/>
    </xf>
    <xf numFmtId="10" fontId="0" fillId="0" borderId="0" xfId="0" applyNumberFormat="1" applyBorder="1"/>
    <xf numFmtId="0" fontId="16" fillId="0" borderId="0" xfId="0" applyFont="1"/>
    <xf numFmtId="0" fontId="16" fillId="0" borderId="0" xfId="0" applyFont="1" applyFill="1" applyBorder="1"/>
    <xf numFmtId="0" fontId="1" fillId="8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9" fontId="0" fillId="0" borderId="1" xfId="0" applyNumberFormat="1" applyFill="1" applyBorder="1"/>
    <xf numFmtId="9" fontId="17" fillId="0" borderId="1" xfId="9" applyFont="1" applyBorder="1"/>
    <xf numFmtId="0" fontId="17" fillId="0" borderId="1" xfId="0" applyFont="1" applyBorder="1"/>
    <xf numFmtId="0" fontId="17" fillId="0" borderId="0" xfId="0" applyFont="1" applyAlignment="1">
      <alignment vertical="top"/>
    </xf>
    <xf numFmtId="0" fontId="17" fillId="0" borderId="0" xfId="0" applyFont="1" applyAlignment="1">
      <alignment vertical="center"/>
    </xf>
    <xf numFmtId="167" fontId="4" fillId="7" borderId="1" xfId="0" applyNumberFormat="1" applyFont="1" applyFill="1" applyBorder="1" applyAlignment="1">
      <alignment wrapText="1"/>
    </xf>
    <xf numFmtId="10" fontId="0" fillId="0" borderId="0" xfId="0" applyNumberFormat="1"/>
    <xf numFmtId="0" fontId="11" fillId="0" borderId="0" xfId="0" applyFont="1" applyBorder="1"/>
    <xf numFmtId="0" fontId="19" fillId="0" borderId="0" xfId="8" applyFont="1"/>
    <xf numFmtId="0" fontId="20" fillId="0" borderId="0" xfId="0" applyFont="1"/>
    <xf numFmtId="0" fontId="21" fillId="0" borderId="8" xfId="8" applyFont="1" applyBorder="1"/>
    <xf numFmtId="0" fontId="22" fillId="0" borderId="0" xfId="0" applyFont="1"/>
    <xf numFmtId="0" fontId="18" fillId="0" borderId="0" xfId="0" applyFont="1" applyBorder="1"/>
    <xf numFmtId="0" fontId="1" fillId="0" borderId="8" xfId="0" applyFont="1" applyBorder="1"/>
    <xf numFmtId="0" fontId="10" fillId="0" borderId="8" xfId="0" applyFont="1" applyBorder="1"/>
    <xf numFmtId="0" fontId="1" fillId="3" borderId="1" xfId="0" applyFont="1" applyFill="1" applyBorder="1" applyAlignment="1">
      <alignment horizontal="center" wrapText="1"/>
    </xf>
    <xf numFmtId="0" fontId="0" fillId="13" borderId="1" xfId="0" applyFill="1" applyBorder="1" applyAlignment="1">
      <alignment wrapText="1"/>
    </xf>
    <xf numFmtId="1" fontId="0" fillId="13" borderId="1" xfId="0" applyNumberFormat="1" applyFill="1" applyBorder="1"/>
    <xf numFmtId="0" fontId="0" fillId="0" borderId="0" xfId="0" applyProtection="1">
      <protection hidden="1"/>
    </xf>
    <xf numFmtId="3" fontId="2" fillId="0" borderId="0" xfId="0" applyNumberFormat="1" applyFont="1" applyFill="1" applyBorder="1" applyAlignment="1" applyProtection="1">
      <alignment vertical="center" wrapText="1"/>
      <protection hidden="1"/>
    </xf>
    <xf numFmtId="3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left" wrapText="1"/>
      <protection hidden="1"/>
    </xf>
    <xf numFmtId="0" fontId="23" fillId="0" borderId="0" xfId="8" applyFont="1" applyFill="1" applyBorder="1" applyAlignment="1" applyProtection="1">
      <alignment horizontal="left" wrapText="1"/>
      <protection hidden="1"/>
    </xf>
    <xf numFmtId="1" fontId="0" fillId="13" borderId="1" xfId="0" applyNumberFormat="1" applyFill="1" applyBorder="1" applyProtection="1">
      <protection hidden="1"/>
    </xf>
    <xf numFmtId="0" fontId="11" fillId="0" borderId="0" xfId="0" applyFont="1" applyProtection="1">
      <protection hidden="1"/>
    </xf>
    <xf numFmtId="0" fontId="24" fillId="12" borderId="1" xfId="0" applyFont="1" applyFill="1" applyBorder="1" applyAlignment="1" applyProtection="1">
      <alignment horizontal="center" wrapText="1"/>
      <protection hidden="1"/>
    </xf>
    <xf numFmtId="3" fontId="2" fillId="13" borderId="3" xfId="0" applyNumberFormat="1" applyFont="1" applyFill="1" applyBorder="1" applyAlignment="1" applyProtection="1">
      <alignment horizontal="center" vertical="center" wrapText="1"/>
      <protection hidden="1"/>
    </xf>
    <xf numFmtId="3" fontId="2" fillId="13" borderId="5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3" fontId="0" fillId="0" borderId="3" xfId="0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166" fontId="0" fillId="0" borderId="3" xfId="0" applyNumberFormat="1" applyFont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5" xfId="0" applyNumberFormat="1" applyFont="1" applyBorder="1" applyAlignment="1">
      <alignment horizontal="center"/>
    </xf>
    <xf numFmtId="9" fontId="0" fillId="0" borderId="4" xfId="0" applyNumberFormat="1" applyFont="1" applyBorder="1" applyAlignment="1">
      <alignment horizontal="center"/>
    </xf>
    <xf numFmtId="9" fontId="0" fillId="0" borderId="5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167" fontId="1" fillId="0" borderId="2" xfId="0" applyNumberFormat="1" applyFont="1" applyBorder="1" applyAlignment="1">
      <alignment horizontal="center" vertical="center" wrapText="1"/>
    </xf>
    <xf numFmtId="167" fontId="1" fillId="0" borderId="6" xfId="0" applyNumberFormat="1" applyFont="1" applyBorder="1" applyAlignment="1">
      <alignment horizontal="center" vertical="center" wrapText="1"/>
    </xf>
    <xf numFmtId="167" fontId="1" fillId="0" borderId="7" xfId="0" applyNumberFormat="1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3" fontId="2" fillId="11" borderId="3" xfId="0" applyNumberFormat="1" applyFont="1" applyFill="1" applyBorder="1" applyAlignment="1">
      <alignment horizontal="center" vertical="center" wrapText="1"/>
    </xf>
    <xf numFmtId="3" fontId="2" fillId="11" borderId="4" xfId="0" applyNumberFormat="1" applyFont="1" applyFill="1" applyBorder="1" applyAlignment="1">
      <alignment horizontal="center" vertical="center" wrapText="1"/>
    </xf>
    <xf numFmtId="3" fontId="2" fillId="11" borderId="5" xfId="0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</cellXfs>
  <cellStyles count="10">
    <cellStyle name="Comma" xfId="5" xr:uid="{00000000-0005-0000-0000-000000000000}"/>
    <cellStyle name="Comma [0]" xfId="6" xr:uid="{00000000-0005-0000-0000-000001000000}"/>
    <cellStyle name="Currency" xfId="3" xr:uid="{00000000-0005-0000-0000-000002000000}"/>
    <cellStyle name="Currency [0]" xfId="4" xr:uid="{00000000-0005-0000-0000-000003000000}"/>
    <cellStyle name="Link" xfId="8" builtinId="8"/>
    <cellStyle name="Normal" xfId="7" xr:uid="{00000000-0005-0000-0000-000005000000}"/>
    <cellStyle name="Percent" xfId="2" xr:uid="{00000000-0005-0000-0000-000006000000}"/>
    <cellStyle name="Prozent" xfId="9" builtinId="5"/>
    <cellStyle name="Standard" xfId="0" builtinId="0"/>
    <cellStyle name="Standard 2" xfId="1" xr:uid="{00000000-0005-0000-0000-000008000000}"/>
  </cellStyles>
  <dxfs count="0"/>
  <tableStyles count="0" defaultTableStyle="TableStyleMedium2" defaultPivotStyle="PivotStyleLight16"/>
  <colors>
    <mruColors>
      <color rgb="FFEEF6F5"/>
      <color rgb="FFDEEEEC"/>
      <color rgb="FFD6EAE8"/>
      <color rgb="FF8DC6BF"/>
      <color rgb="FF00FF00"/>
      <color rgb="FFFFCCCC"/>
      <color rgb="FFF2F7FC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1685059</xdr:colOff>
      <xdr:row>4</xdr:row>
      <xdr:rowOff>50800</xdr:rowOff>
    </xdr:from>
    <xdr:to>
      <xdr:col>1</xdr:col>
      <xdr:colOff>1771650</xdr:colOff>
      <xdr:row>5</xdr:row>
      <xdr:rowOff>93987</xdr:rowOff>
    </xdr:to>
    <xdr:sp macro="" textlink="">
      <xdr:nvSpPr>
        <xdr:cNvPr id="3" name="Pfeil nach oben 3">
          <a:extLst>
            <a:ext uri="{FF2B5EF4-FFF2-40B4-BE49-F238E27FC236}">
              <a16:creationId xmlns:a16="http://schemas.microsoft.com/office/drawing/2014/main" id="{B84C66DF-9A61-4E98-9092-1CF27D79DD13}"/>
            </a:ext>
          </a:extLst>
        </xdr:cNvPr>
        <xdr:cNvSpPr/>
      </xdr:nvSpPr>
      <xdr:spPr>
        <a:xfrm>
          <a:off x="1685059" y="1758950"/>
          <a:ext cx="86591" cy="227337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700809</xdr:colOff>
      <xdr:row>4</xdr:row>
      <xdr:rowOff>44450</xdr:rowOff>
    </xdr:from>
    <xdr:to>
      <xdr:col>2</xdr:col>
      <xdr:colOff>787400</xdr:colOff>
      <xdr:row>5</xdr:row>
      <xdr:rowOff>87637</xdr:rowOff>
    </xdr:to>
    <xdr:sp macro="" textlink="">
      <xdr:nvSpPr>
        <xdr:cNvPr id="5" name="Pfeil nach oben 3">
          <a:extLst>
            <a:ext uri="{FF2B5EF4-FFF2-40B4-BE49-F238E27FC236}">
              <a16:creationId xmlns:a16="http://schemas.microsoft.com/office/drawing/2014/main" id="{BDB183A1-9D36-4EED-9E1A-5DDC10996952}"/>
            </a:ext>
          </a:extLst>
        </xdr:cNvPr>
        <xdr:cNvSpPr/>
      </xdr:nvSpPr>
      <xdr:spPr>
        <a:xfrm>
          <a:off x="4231409" y="1568450"/>
          <a:ext cx="86591" cy="227337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170926</xdr:colOff>
      <xdr:row>9</xdr:row>
      <xdr:rowOff>216424</xdr:rowOff>
    </xdr:from>
    <xdr:to>
      <xdr:col>0</xdr:col>
      <xdr:colOff>407788</xdr:colOff>
      <xdr:row>10</xdr:row>
      <xdr:rowOff>36315</xdr:rowOff>
    </xdr:to>
    <xdr:sp macro="" textlink="">
      <xdr:nvSpPr>
        <xdr:cNvPr id="4" name="Pfeil nach oben 3">
          <a:extLst>
            <a:ext uri="{FF2B5EF4-FFF2-40B4-BE49-F238E27FC236}">
              <a16:creationId xmlns:a16="http://schemas.microsoft.com/office/drawing/2014/main" id="{FBE6EF3A-6FF7-41D8-8CF2-0C047EABD8CA}"/>
            </a:ext>
          </a:extLst>
        </xdr:cNvPr>
        <xdr:cNvSpPr/>
      </xdr:nvSpPr>
      <xdr:spPr>
        <a:xfrm rot="5400000">
          <a:off x="246061" y="2341564"/>
          <a:ext cx="86591" cy="236862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830945</xdr:colOff>
      <xdr:row>11</xdr:row>
      <xdr:rowOff>95249</xdr:rowOff>
    </xdr:from>
    <xdr:to>
      <xdr:col>1</xdr:col>
      <xdr:colOff>917536</xdr:colOff>
      <xdr:row>12</xdr:row>
      <xdr:rowOff>141158</xdr:rowOff>
    </xdr:to>
    <xdr:sp macro="" textlink="">
      <xdr:nvSpPr>
        <xdr:cNvPr id="2" name="Pfeil nach oben 3">
          <a:extLst>
            <a:ext uri="{FF2B5EF4-FFF2-40B4-BE49-F238E27FC236}">
              <a16:creationId xmlns:a16="http://schemas.microsoft.com/office/drawing/2014/main" id="{E529C41D-9AE3-4F64-BA5F-4AC703E1CC9A}"/>
            </a:ext>
          </a:extLst>
        </xdr:cNvPr>
        <xdr:cNvSpPr/>
      </xdr:nvSpPr>
      <xdr:spPr>
        <a:xfrm>
          <a:off x="4223659" y="3070678"/>
          <a:ext cx="86591" cy="227337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967468</xdr:colOff>
      <xdr:row>11</xdr:row>
      <xdr:rowOff>95249</xdr:rowOff>
    </xdr:from>
    <xdr:to>
      <xdr:col>2</xdr:col>
      <xdr:colOff>1054059</xdr:colOff>
      <xdr:row>12</xdr:row>
      <xdr:rowOff>141158</xdr:rowOff>
    </xdr:to>
    <xdr:sp macro="" textlink="">
      <xdr:nvSpPr>
        <xdr:cNvPr id="3" name="Pfeil nach oben 3">
          <a:extLst>
            <a:ext uri="{FF2B5EF4-FFF2-40B4-BE49-F238E27FC236}">
              <a16:creationId xmlns:a16="http://schemas.microsoft.com/office/drawing/2014/main" id="{67E97B6B-665D-4973-82D3-EDA0B81BB773}"/>
            </a:ext>
          </a:extLst>
        </xdr:cNvPr>
        <xdr:cNvSpPr/>
      </xdr:nvSpPr>
      <xdr:spPr>
        <a:xfrm>
          <a:off x="6020254" y="3070678"/>
          <a:ext cx="86591" cy="227337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986064</xdr:colOff>
      <xdr:row>11</xdr:row>
      <xdr:rowOff>95249</xdr:rowOff>
    </xdr:from>
    <xdr:to>
      <xdr:col>3</xdr:col>
      <xdr:colOff>1072655</xdr:colOff>
      <xdr:row>12</xdr:row>
      <xdr:rowOff>141158</xdr:rowOff>
    </xdr:to>
    <xdr:sp macro="" textlink="">
      <xdr:nvSpPr>
        <xdr:cNvPr id="4" name="Pfeil nach oben 3">
          <a:extLst>
            <a:ext uri="{FF2B5EF4-FFF2-40B4-BE49-F238E27FC236}">
              <a16:creationId xmlns:a16="http://schemas.microsoft.com/office/drawing/2014/main" id="{32DAEF83-9853-4E97-BBF7-71892DBF9753}"/>
            </a:ext>
          </a:extLst>
        </xdr:cNvPr>
        <xdr:cNvSpPr/>
      </xdr:nvSpPr>
      <xdr:spPr>
        <a:xfrm>
          <a:off x="7816850" y="3070678"/>
          <a:ext cx="86591" cy="227337"/>
        </a:xfrm>
        <a:prstGeom prst="up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ziv-zweirad.de/uploads/media/PM_2021_10.03._ZIV-Praesentation_10.03.2021_mit_Text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mhkbg.nrw/sites/default/files/media/document/file/252_steckbrief_quartierstypen_rw_191213.pdf" TargetMode="External"/><Relationship Id="rId1" Type="http://schemas.openxmlformats.org/officeDocument/2006/relationships/hyperlink" Target="https://www.ssoar.info/ssoar/bitstream/handle/document/38016/ssoar-2007-knabe-Images_grostadtischer_Quartierstypen_empirische_Befunde.pdf?sequence=1&amp;isAllowed=y&amp;lnkname=ssoar-2007-knabe-Images_grostadtischer_Quartierstypen_empirische_Befun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FBC32-7FE1-4F55-A545-3AA6DED3E029}">
  <sheetPr codeName="Tabelle1"/>
  <dimension ref="B1:E10"/>
  <sheetViews>
    <sheetView showGridLines="0" tabSelected="1" workbookViewId="0">
      <selection activeCell="C12" sqref="C12"/>
    </sheetView>
  </sheetViews>
  <sheetFormatPr baseColWidth="10" defaultColWidth="10.85546875" defaultRowHeight="15" x14ac:dyDescent="0.25"/>
  <cols>
    <col min="1" max="1" width="1.85546875" style="101" customWidth="1"/>
    <col min="2" max="2" width="48.5703125" style="101" customWidth="1"/>
    <col min="3" max="5" width="20.5703125" style="101" customWidth="1"/>
    <col min="6" max="16384" width="10.85546875" style="101"/>
  </cols>
  <sheetData>
    <row r="1" spans="2:5" ht="18.75" x14ac:dyDescent="0.3">
      <c r="B1" s="107" t="s">
        <v>119</v>
      </c>
    </row>
    <row r="3" spans="2:5" ht="45" x14ac:dyDescent="0.25">
      <c r="B3" s="108" t="s">
        <v>107</v>
      </c>
      <c r="C3" s="108" t="s">
        <v>120</v>
      </c>
      <c r="D3" s="108" t="s">
        <v>116</v>
      </c>
      <c r="E3" s="108" t="s">
        <v>115</v>
      </c>
    </row>
    <row r="4" spans="2:5" ht="43.5" customHeight="1" x14ac:dyDescent="0.25">
      <c r="B4" s="99" t="s">
        <v>108</v>
      </c>
      <c r="C4" s="100">
        <v>5000</v>
      </c>
      <c r="D4" s="106" t="str">
        <f>IF(ISNA(VLOOKUP(B4,'2b_Ermittlung_Besitzquote'!A19:E27,5,FALSE)),"",(C4*VLOOKUP(B4,'2b_Ermittlung_Besitzquote'!A18:E27,5,FALSE))/1000)</f>
        <v/>
      </c>
      <c r="E4" s="106" t="str">
        <f>IF(ISERROR(D4/3),"",D4/3)</f>
        <v/>
      </c>
    </row>
    <row r="7" spans="2:5" ht="14.45" customHeight="1" x14ac:dyDescent="0.25">
      <c r="B7" s="109" t="s">
        <v>121</v>
      </c>
      <c r="C7" s="110"/>
      <c r="D7" s="102"/>
    </row>
    <row r="8" spans="2:5" x14ac:dyDescent="0.25">
      <c r="B8" s="103"/>
      <c r="C8" s="103"/>
      <c r="D8" s="103"/>
    </row>
    <row r="9" spans="2:5" x14ac:dyDescent="0.25">
      <c r="B9" s="104" t="s">
        <v>114</v>
      </c>
    </row>
    <row r="10" spans="2:5" x14ac:dyDescent="0.25">
      <c r="B10" s="105"/>
    </row>
  </sheetData>
  <sheetProtection algorithmName="SHA-512" hashValue="2QGQa5dftYj2ctlJYIGM42D2QkK22iOdyfEUKJRTu1yLFQ9Jv6tJxWFrR1ZX0VFNqobCuE4FLHsiP+J/gpi0Ig==" saltValue="T4FbQJFgJIN2qBUdr8bpGg==" spinCount="100000" sheet="1" objects="1" scenarios="1"/>
  <protectedRanges>
    <protectedRange sqref="B4:C4" name="Eingabezellen"/>
  </protectedRanges>
  <mergeCells count="1">
    <mergeCell ref="B7:C7"/>
  </mergeCells>
  <dataValidations count="3">
    <dataValidation type="whole" errorStyle="information" operator="greaterThanOrEqual" allowBlank="1" showInputMessage="1" showErrorMessage="1" error="Bitte geben Sie eine ganze Zahl größer 0 an." sqref="C4" xr:uid="{6DEB69D6-63E3-4001-B6A3-57B7651F1CF6}">
      <formula1>0</formula1>
    </dataValidation>
    <dataValidation allowBlank="1" showInputMessage="1" showErrorMessage="1" prompt="Nach Auswahl des Quartierstyps und der Einwohner*innenzahl ermittelt das ALADIN-Tool diesen Wert für Sie." sqref="E4" xr:uid="{A7DCC344-721E-495C-82D3-7CD7330BD788}"/>
    <dataValidation allowBlank="1" showInputMessage="1" showErrorMessage="1" prompt="Nach Auswahl des Quartierstyps und der Einwohner*innenzahl ermittelt das ALADIN-Tool diesen Wert für Sie._x000a_Die Berechnung erfolgt auf der Annahme, dass bisher keine Lastenradabstellanlagen vorhanden sind." sqref="D4" xr:uid="{11DD7DCA-F77C-4F27-B5CD-51132A932AD5}"/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Hinweis" prompt="Informationen zu den verschiedenen Quartierstypen können Sie der Planungshilfe entnehmen." xr:uid="{66464FCA-F528-4878-82CC-DAA2C6A63C0E}">
          <x14:formula1>
            <xm:f>'2b_Ermittlung_Besitzquote'!$A$18:$A$27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DEA40-1AAA-490D-A38E-71A78424EB97}">
  <sheetPr codeName="Tabelle2"/>
  <dimension ref="A1:C12"/>
  <sheetViews>
    <sheetView showGridLines="0" workbookViewId="0"/>
  </sheetViews>
  <sheetFormatPr baseColWidth="10" defaultRowHeight="15" x14ac:dyDescent="0.25"/>
  <cols>
    <col min="1" max="1" width="6.85546875" customWidth="1"/>
    <col min="2" max="2" width="59.42578125" customWidth="1"/>
    <col min="3" max="3" width="15" style="92" bestFit="1" customWidth="1"/>
  </cols>
  <sheetData>
    <row r="1" spans="1:3" ht="18.75" x14ac:dyDescent="0.3">
      <c r="A1" s="54" t="s">
        <v>110</v>
      </c>
    </row>
    <row r="2" spans="1:3" x14ac:dyDescent="0.25">
      <c r="A2" s="13"/>
    </row>
    <row r="3" spans="1:3" x14ac:dyDescent="0.25">
      <c r="A3" s="86" t="s">
        <v>109</v>
      </c>
    </row>
    <row r="4" spans="1:3" ht="21" customHeight="1" x14ac:dyDescent="0.25">
      <c r="B4" s="96" t="s">
        <v>83</v>
      </c>
      <c r="C4" s="93" t="s">
        <v>94</v>
      </c>
    </row>
    <row r="5" spans="1:3" ht="21" customHeight="1" x14ac:dyDescent="0.25">
      <c r="B5" s="96" t="s">
        <v>85</v>
      </c>
      <c r="C5" s="93" t="s">
        <v>86</v>
      </c>
    </row>
    <row r="6" spans="1:3" ht="21" customHeight="1" x14ac:dyDescent="0.25">
      <c r="B6" s="96" t="s">
        <v>87</v>
      </c>
      <c r="C6" s="93" t="s">
        <v>95</v>
      </c>
    </row>
    <row r="7" spans="1:3" ht="21" customHeight="1" x14ac:dyDescent="0.25">
      <c r="A7" s="79"/>
      <c r="B7" s="97" t="s">
        <v>88</v>
      </c>
      <c r="C7" s="93" t="s">
        <v>67</v>
      </c>
    </row>
    <row r="8" spans="1:3" ht="21" customHeight="1" x14ac:dyDescent="0.25">
      <c r="A8" s="80"/>
      <c r="B8" s="96" t="s">
        <v>92</v>
      </c>
      <c r="C8" s="93" t="s">
        <v>89</v>
      </c>
    </row>
    <row r="9" spans="1:3" ht="21" customHeight="1" x14ac:dyDescent="0.25">
      <c r="B9" s="96" t="s">
        <v>103</v>
      </c>
      <c r="C9" s="93" t="s">
        <v>96</v>
      </c>
    </row>
    <row r="10" spans="1:3" ht="21" customHeight="1" x14ac:dyDescent="0.25">
      <c r="A10" s="86"/>
      <c r="B10" s="111" t="s">
        <v>113</v>
      </c>
      <c r="C10" s="94"/>
    </row>
    <row r="11" spans="1:3" ht="21" customHeight="1" x14ac:dyDescent="0.25">
      <c r="B11" s="112"/>
      <c r="C11" s="93" t="s">
        <v>93</v>
      </c>
    </row>
    <row r="12" spans="1:3" x14ac:dyDescent="0.25">
      <c r="A12" s="87"/>
    </row>
  </sheetData>
  <sheetProtection algorithmName="SHA-512" hashValue="LuG/Puh7JZYksL1bJ9E1p5TbeTnPNOEwpeQDsY33W+Kj8c+TanpICYGjsZCE20nl+wArm7aMDwcpbXAL0CDzcQ==" saltValue="hkOc0VvJP8hSVxb3gSOt/g==" spinCount="100000" sheet="1" objects="1" scenarios="1"/>
  <mergeCells count="1">
    <mergeCell ref="B10:B11"/>
  </mergeCells>
  <hyperlinks>
    <hyperlink ref="C4" location="'2a_Ermittlung_Lastenradverkäufe'!A1" display="Tabelle 1" xr:uid="{A02633A6-213C-4B40-825F-C20999B1F526}"/>
    <hyperlink ref="C5" location="'2a_Ermittlung_Lastenradverkäufe'!A49" display="Nebenrechnung" xr:uid="{F54D82A2-E1C1-45F2-8A0D-EEC6C14DF84E}"/>
    <hyperlink ref="C6" location="'2a_Ermittlung_Lastenradverkäufe'!A15" display="Tabelle 2" xr:uid="{C1E14751-5963-412E-98D0-0C595820BBE6}"/>
    <hyperlink ref="C7" location="'2a_Ermittlung_Lastenradverkäufe'!A33" display="Tabelle 3" xr:uid="{CEB97F42-FDE6-4DFB-9C05-2305A28B937A}"/>
    <hyperlink ref="C8" location="'2b_Ermittlung_Besitzquote'!A1" display="Tabelle 4" xr:uid="{0C2AED93-B546-4502-A3BB-9C0303DECCF7}"/>
    <hyperlink ref="C9" location="'2b_Ermittlung_Besitzquote'!A17" display="Tabelle 5" xr:uid="{A9CA7686-A377-4162-AE93-8A770DA8BA6D}"/>
    <hyperlink ref="C11" location="'ALADIN-Tool'!A1" display="Tabelle 6" xr:uid="{B57BFCE1-C49D-44C4-9FC3-3F0663A5C69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E4B17-93F3-4606-93D3-34CBD1101E9C}">
  <sheetPr codeName="Tabelle3"/>
  <dimension ref="A1:AC62"/>
  <sheetViews>
    <sheetView showGridLines="0" zoomScale="85" zoomScaleNormal="85" workbookViewId="0"/>
  </sheetViews>
  <sheetFormatPr baseColWidth="10" defaultRowHeight="15" x14ac:dyDescent="0.25"/>
  <cols>
    <col min="1" max="1" width="44.85546875" customWidth="1"/>
    <col min="29" max="29" width="245.140625" bestFit="1" customWidth="1"/>
  </cols>
  <sheetData>
    <row r="1" spans="1:27" s="55" customFormat="1" ht="18.75" x14ac:dyDescent="0.3">
      <c r="A1" s="54" t="s">
        <v>34</v>
      </c>
      <c r="R1" s="56"/>
    </row>
    <row r="2" spans="1:27" x14ac:dyDescent="0.25">
      <c r="G2" s="116" t="s">
        <v>8</v>
      </c>
      <c r="H2" s="116"/>
      <c r="I2" s="116"/>
      <c r="J2" s="116"/>
      <c r="K2" s="116"/>
      <c r="L2" s="116"/>
      <c r="M2" s="116"/>
      <c r="N2" s="116"/>
      <c r="O2" s="116"/>
      <c r="P2" s="116"/>
      <c r="R2" s="27"/>
    </row>
    <row r="3" spans="1:27" x14ac:dyDescent="0.25">
      <c r="B3" s="3">
        <v>2016</v>
      </c>
      <c r="C3" s="3">
        <v>2017</v>
      </c>
      <c r="D3" s="3">
        <v>2018</v>
      </c>
      <c r="E3" s="3">
        <v>2019</v>
      </c>
      <c r="F3" s="3">
        <v>2020</v>
      </c>
      <c r="G3" s="2">
        <v>2021</v>
      </c>
      <c r="H3" s="2">
        <v>2022</v>
      </c>
      <c r="I3" s="2">
        <v>2023</v>
      </c>
      <c r="J3" s="2">
        <v>2024</v>
      </c>
      <c r="K3" s="2">
        <v>2025</v>
      </c>
      <c r="L3" s="2">
        <v>2026</v>
      </c>
      <c r="M3" s="2">
        <v>2027</v>
      </c>
      <c r="N3" s="2">
        <v>2028</v>
      </c>
      <c r="O3" s="2">
        <v>2029</v>
      </c>
      <c r="P3" s="2">
        <v>2030</v>
      </c>
      <c r="R3" s="120" t="s">
        <v>23</v>
      </c>
      <c r="S3" s="120"/>
      <c r="T3" s="120"/>
      <c r="U3" s="120"/>
    </row>
    <row r="4" spans="1:27" ht="15" customHeight="1" x14ac:dyDescent="0.25">
      <c r="A4" s="4" t="s">
        <v>0</v>
      </c>
      <c r="B4" s="73">
        <v>15125</v>
      </c>
      <c r="C4" s="73">
        <v>21600</v>
      </c>
      <c r="D4" s="73">
        <v>39200</v>
      </c>
      <c r="E4" s="5">
        <v>54400</v>
      </c>
      <c r="F4" s="5">
        <v>78000</v>
      </c>
      <c r="G4" s="8">
        <f>F4*G7+F4</f>
        <v>117000</v>
      </c>
      <c r="H4" s="8">
        <f t="shared" ref="H4:P4" si="0">G4*H7+G4</f>
        <v>163800</v>
      </c>
      <c r="I4" s="8">
        <f t="shared" si="0"/>
        <v>221130</v>
      </c>
      <c r="J4" s="8">
        <f t="shared" si="0"/>
        <v>287469</v>
      </c>
      <c r="K4" s="8">
        <f t="shared" si="0"/>
        <v>359336.25</v>
      </c>
      <c r="L4" s="8">
        <f t="shared" si="0"/>
        <v>431203.5</v>
      </c>
      <c r="M4" s="8">
        <f t="shared" si="0"/>
        <v>504508.09499999997</v>
      </c>
      <c r="N4" s="8">
        <f t="shared" si="0"/>
        <v>580184.30924999993</v>
      </c>
      <c r="O4" s="8">
        <f t="shared" si="0"/>
        <v>649806.42635999992</v>
      </c>
      <c r="P4" s="8">
        <f t="shared" si="0"/>
        <v>714787.06899599987</v>
      </c>
      <c r="R4" s="119" t="s">
        <v>24</v>
      </c>
      <c r="S4" s="119"/>
      <c r="T4" s="119"/>
      <c r="U4" s="119"/>
    </row>
    <row r="5" spans="1:27" x14ac:dyDescent="0.25">
      <c r="A5" s="4" t="s">
        <v>1</v>
      </c>
      <c r="B5" s="28" t="s">
        <v>2</v>
      </c>
      <c r="C5" s="28" t="s">
        <v>2</v>
      </c>
      <c r="D5" s="28" t="s">
        <v>2</v>
      </c>
      <c r="E5" s="5">
        <v>21550</v>
      </c>
      <c r="F5" s="5">
        <v>25200</v>
      </c>
      <c r="G5" s="8">
        <f>(F5/100*20)+F5</f>
        <v>30240</v>
      </c>
      <c r="H5" s="8">
        <f>(G5/100*19)+G5</f>
        <v>35985.599999999999</v>
      </c>
      <c r="I5" s="8">
        <f>(H5/100*18)+H5</f>
        <v>42463.008000000002</v>
      </c>
      <c r="J5" s="8">
        <f>(I5/100*17)+I5</f>
        <v>49681.719360000003</v>
      </c>
      <c r="K5" s="8">
        <f>(J5/100*16)+J5</f>
        <v>57630.794457600001</v>
      </c>
      <c r="L5" s="8">
        <f>(K5/100*15)+K5</f>
        <v>66275.413626239999</v>
      </c>
      <c r="M5" s="8">
        <f>(L5/100*14)+L5</f>
        <v>75553.971533913602</v>
      </c>
      <c r="N5" s="8">
        <f>(M5/100*13)+M5</f>
        <v>85375.987833322375</v>
      </c>
      <c r="O5" s="8">
        <f>(N5/100*12)+N5</f>
        <v>95621.106373321061</v>
      </c>
      <c r="P5" s="8">
        <f>(O5/100*11)+O5</f>
        <v>106139.42807438638</v>
      </c>
      <c r="R5" s="119"/>
      <c r="S5" s="119"/>
      <c r="T5" s="119"/>
      <c r="U5" s="119"/>
    </row>
    <row r="6" spans="1:27" x14ac:dyDescent="0.25">
      <c r="A6" s="26" t="s">
        <v>9</v>
      </c>
      <c r="B6" s="5">
        <f>B4</f>
        <v>15125</v>
      </c>
      <c r="C6" s="5">
        <f>C4</f>
        <v>21600</v>
      </c>
      <c r="D6" s="5">
        <f>D4</f>
        <v>39200</v>
      </c>
      <c r="E6" s="5">
        <f t="shared" ref="E6:O6" si="1">E4+E5</f>
        <v>75950</v>
      </c>
      <c r="F6" s="5">
        <f t="shared" si="1"/>
        <v>103200</v>
      </c>
      <c r="G6" s="8">
        <f t="shared" si="1"/>
        <v>147240</v>
      </c>
      <c r="H6" s="8">
        <f t="shared" si="1"/>
        <v>199785.60000000001</v>
      </c>
      <c r="I6" s="8">
        <f t="shared" si="1"/>
        <v>263593.00800000003</v>
      </c>
      <c r="J6" s="8">
        <f t="shared" si="1"/>
        <v>337150.71935999999</v>
      </c>
      <c r="K6" s="8">
        <f t="shared" si="1"/>
        <v>416967.04445759999</v>
      </c>
      <c r="L6" s="8">
        <f t="shared" si="1"/>
        <v>497478.91362623998</v>
      </c>
      <c r="M6" s="8">
        <f t="shared" si="1"/>
        <v>580062.0665339136</v>
      </c>
      <c r="N6" s="8">
        <f t="shared" si="1"/>
        <v>665560.29708332231</v>
      </c>
      <c r="O6" s="8">
        <f t="shared" si="1"/>
        <v>745427.53273332096</v>
      </c>
      <c r="P6" s="8">
        <f>P4+P5</f>
        <v>820926.49707038631</v>
      </c>
      <c r="R6" s="119"/>
      <c r="S6" s="119"/>
      <c r="T6" s="119"/>
      <c r="U6" s="119"/>
    </row>
    <row r="7" spans="1:27" ht="50.1" customHeight="1" x14ac:dyDescent="0.25">
      <c r="A7" s="6" t="s">
        <v>3</v>
      </c>
      <c r="B7" s="28" t="s">
        <v>2</v>
      </c>
      <c r="C7" s="10">
        <v>0.43</v>
      </c>
      <c r="D7" s="10">
        <v>0.82</v>
      </c>
      <c r="E7" s="68">
        <v>0.39</v>
      </c>
      <c r="F7" s="68">
        <v>0.43</v>
      </c>
      <c r="G7" s="72">
        <v>0.5</v>
      </c>
      <c r="H7" s="72">
        <v>0.4</v>
      </c>
      <c r="I7" s="72">
        <v>0.35</v>
      </c>
      <c r="J7" s="72">
        <v>0.3</v>
      </c>
      <c r="K7" s="72">
        <v>0.25</v>
      </c>
      <c r="L7" s="72">
        <v>0.2</v>
      </c>
      <c r="M7" s="72">
        <v>0.17</v>
      </c>
      <c r="N7" s="72">
        <v>0.15</v>
      </c>
      <c r="O7" s="72">
        <v>0.12</v>
      </c>
      <c r="P7" s="72">
        <v>0.1</v>
      </c>
      <c r="R7" s="121" t="s">
        <v>25</v>
      </c>
      <c r="S7" s="121"/>
      <c r="T7" s="121"/>
      <c r="U7" s="121"/>
    </row>
    <row r="8" spans="1:27" ht="39.6" customHeight="1" x14ac:dyDescent="0.25">
      <c r="A8" s="6" t="s">
        <v>4</v>
      </c>
      <c r="B8" s="28" t="s">
        <v>2</v>
      </c>
      <c r="C8" s="28" t="s">
        <v>2</v>
      </c>
      <c r="D8" s="28" t="s">
        <v>2</v>
      </c>
      <c r="E8" s="28" t="s">
        <v>2</v>
      </c>
      <c r="F8" s="10">
        <v>0.17</v>
      </c>
      <c r="G8" s="42">
        <v>0.2</v>
      </c>
      <c r="H8" s="42">
        <v>0.19</v>
      </c>
      <c r="I8" s="42">
        <v>0.18</v>
      </c>
      <c r="J8" s="42">
        <v>0.17</v>
      </c>
      <c r="K8" s="42">
        <v>0.16</v>
      </c>
      <c r="L8" s="42">
        <v>0.15</v>
      </c>
      <c r="M8" s="42">
        <v>0.14000000000000001</v>
      </c>
      <c r="N8" s="42">
        <v>0.13</v>
      </c>
      <c r="O8" s="42">
        <v>0.12</v>
      </c>
      <c r="P8" s="42">
        <v>0.11</v>
      </c>
      <c r="R8" s="121" t="s">
        <v>26</v>
      </c>
      <c r="S8" s="121"/>
      <c r="T8" s="121"/>
      <c r="U8" s="121"/>
    </row>
    <row r="9" spans="1:27" x14ac:dyDescent="0.25">
      <c r="A9" s="6" t="s">
        <v>6</v>
      </c>
      <c r="B9" s="5">
        <v>4060000</v>
      </c>
      <c r="C9" s="5">
        <v>3850000</v>
      </c>
      <c r="D9" s="5">
        <v>4180000</v>
      </c>
      <c r="E9" s="5">
        <v>4310000</v>
      </c>
      <c r="F9" s="7">
        <v>5040000</v>
      </c>
      <c r="G9" s="113">
        <f>AVERAGE(B9:F9)</f>
        <v>4288000</v>
      </c>
      <c r="H9" s="114"/>
      <c r="I9" s="114"/>
      <c r="J9" s="114"/>
      <c r="K9" s="114"/>
      <c r="L9" s="114"/>
      <c r="M9" s="114"/>
      <c r="N9" s="114"/>
      <c r="O9" s="114"/>
      <c r="P9" s="115"/>
      <c r="R9" s="122" t="s">
        <v>27</v>
      </c>
      <c r="S9" s="122"/>
      <c r="T9" s="122"/>
      <c r="U9" s="122"/>
    </row>
    <row r="10" spans="1:27" x14ac:dyDescent="0.25">
      <c r="A10" s="6" t="s">
        <v>7</v>
      </c>
      <c r="B10" s="11">
        <f>B4/B9</f>
        <v>3.725369458128079E-3</v>
      </c>
      <c r="C10" s="11">
        <f>C4/C9</f>
        <v>5.6103896103896107E-3</v>
      </c>
      <c r="D10" s="11">
        <f>D4/D9</f>
        <v>9.3779904306220095E-3</v>
      </c>
      <c r="E10" s="11">
        <f>E6/E9</f>
        <v>1.7621809744779584E-2</v>
      </c>
      <c r="F10" s="12">
        <f>F6/F9</f>
        <v>2.0476190476190478E-2</v>
      </c>
      <c r="G10" s="11">
        <f>G6/G9</f>
        <v>3.4337686567164176E-2</v>
      </c>
      <c r="H10" s="11">
        <f>H6/G9</f>
        <v>4.6591791044776121E-2</v>
      </c>
      <c r="I10" s="11">
        <f>I6/G9</f>
        <v>6.1472250000000006E-2</v>
      </c>
      <c r="J10" s="11">
        <f>J6/G9</f>
        <v>7.8626567014925375E-2</v>
      </c>
      <c r="K10" s="11">
        <f>K6/G9</f>
        <v>9.7240448800746268E-2</v>
      </c>
      <c r="L10" s="11">
        <f>L6/G9</f>
        <v>0.11601653769268656</v>
      </c>
      <c r="M10" s="11">
        <f>M6/G9</f>
        <v>0.13527566850137909</v>
      </c>
      <c r="N10" s="11">
        <f>N6/G9</f>
        <v>0.15521462152129717</v>
      </c>
      <c r="O10" s="11">
        <f>O6/G9</f>
        <v>0.17384037610385283</v>
      </c>
      <c r="P10" s="11">
        <f>P6/G9</f>
        <v>0.19144741069738486</v>
      </c>
      <c r="R10" s="123" t="s">
        <v>28</v>
      </c>
      <c r="S10" s="123"/>
      <c r="T10" s="123"/>
      <c r="U10" s="123"/>
    </row>
    <row r="11" spans="1:27" x14ac:dyDescent="0.25">
      <c r="A11" s="76"/>
      <c r="B11" s="77"/>
      <c r="C11" s="77"/>
      <c r="D11" s="77"/>
      <c r="E11" s="77"/>
      <c r="F11" s="78"/>
      <c r="G11" s="77"/>
      <c r="H11" s="77"/>
      <c r="I11" s="77"/>
      <c r="J11" s="77"/>
      <c r="K11" s="77"/>
      <c r="L11" s="77"/>
      <c r="M11" s="77"/>
      <c r="N11" s="77"/>
      <c r="O11" s="77"/>
      <c r="P11" s="77"/>
      <c r="R11" s="75"/>
      <c r="S11" s="75"/>
      <c r="T11" s="75"/>
      <c r="U11" s="75"/>
    </row>
    <row r="12" spans="1:27" x14ac:dyDescent="0.25">
      <c r="A12" s="9" t="s">
        <v>5</v>
      </c>
      <c r="B12" s="77"/>
      <c r="C12" s="77"/>
      <c r="D12" s="77"/>
      <c r="E12" s="77"/>
      <c r="F12" s="78"/>
      <c r="G12" s="77"/>
      <c r="H12" s="77"/>
      <c r="I12" s="77"/>
      <c r="J12" s="77"/>
      <c r="K12" s="77"/>
      <c r="L12" s="77"/>
      <c r="M12" s="77"/>
      <c r="N12" s="77"/>
      <c r="O12" s="77"/>
      <c r="P12" s="77"/>
      <c r="R12" s="75"/>
      <c r="S12" s="75"/>
      <c r="T12" s="75"/>
      <c r="U12" s="75"/>
    </row>
    <row r="13" spans="1:27" x14ac:dyDescent="0.25">
      <c r="A13" s="91" t="s">
        <v>11</v>
      </c>
      <c r="B13" s="77"/>
      <c r="C13" s="77"/>
      <c r="D13" s="77"/>
      <c r="E13" s="77"/>
      <c r="F13" s="78"/>
      <c r="G13" s="77"/>
      <c r="H13" s="77"/>
      <c r="I13" s="77"/>
      <c r="J13" s="77"/>
      <c r="K13" s="77"/>
      <c r="L13" s="77"/>
      <c r="M13" s="77"/>
      <c r="N13" s="77"/>
      <c r="O13" s="77"/>
      <c r="P13" s="77"/>
      <c r="R13" s="75"/>
      <c r="S13" s="75"/>
      <c r="T13" s="75"/>
      <c r="U13" s="75"/>
    </row>
    <row r="15" spans="1:27" s="55" customFormat="1" ht="18.75" x14ac:dyDescent="0.3">
      <c r="A15" s="54" t="s">
        <v>35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</row>
    <row r="16" spans="1:27" s="13" customFormat="1" x14ac:dyDescent="0.2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  <c r="P16" s="16"/>
      <c r="Q16" s="14"/>
      <c r="R16" s="116" t="s">
        <v>8</v>
      </c>
      <c r="S16" s="116"/>
      <c r="T16" s="116"/>
      <c r="U16" s="116"/>
      <c r="V16" s="116"/>
      <c r="W16" s="116"/>
      <c r="X16" s="116"/>
      <c r="Y16" s="116"/>
      <c r="Z16" s="116"/>
      <c r="AA16" s="116"/>
    </row>
    <row r="17" spans="1:29" s="13" customFormat="1" x14ac:dyDescent="0.25">
      <c r="B17" s="1">
        <v>2005</v>
      </c>
      <c r="C17" s="1">
        <v>2006</v>
      </c>
      <c r="D17" s="1">
        <v>2007</v>
      </c>
      <c r="E17" s="1">
        <v>2008</v>
      </c>
      <c r="F17" s="1">
        <v>2009</v>
      </c>
      <c r="G17" s="1">
        <v>2010</v>
      </c>
      <c r="H17" s="1">
        <v>2011</v>
      </c>
      <c r="I17" s="1">
        <v>2012</v>
      </c>
      <c r="J17" s="1">
        <v>2013</v>
      </c>
      <c r="K17" s="1">
        <v>2014</v>
      </c>
      <c r="L17" s="1">
        <v>2015</v>
      </c>
      <c r="M17" s="1">
        <v>2016</v>
      </c>
      <c r="N17" s="1">
        <v>2017</v>
      </c>
      <c r="O17" s="1">
        <v>2018</v>
      </c>
      <c r="P17" s="1">
        <v>2019</v>
      </c>
      <c r="Q17" s="1">
        <v>2020</v>
      </c>
      <c r="R17" s="17">
        <v>2021</v>
      </c>
      <c r="S17" s="17">
        <v>2022</v>
      </c>
      <c r="T17" s="17">
        <v>2023</v>
      </c>
      <c r="U17" s="17">
        <v>2024</v>
      </c>
      <c r="V17" s="17">
        <v>2025</v>
      </c>
      <c r="W17" s="17">
        <v>2026</v>
      </c>
      <c r="X17" s="17">
        <v>2027</v>
      </c>
      <c r="Y17" s="17">
        <v>2028</v>
      </c>
      <c r="Z17" s="17">
        <v>2029</v>
      </c>
      <c r="AA17" s="17">
        <v>2030</v>
      </c>
      <c r="AC17" s="81" t="s">
        <v>23</v>
      </c>
    </row>
    <row r="18" spans="1:29" s="13" customFormat="1" ht="13.5" customHeight="1" x14ac:dyDescent="0.25">
      <c r="A18" s="20" t="s">
        <v>10</v>
      </c>
      <c r="B18" s="18">
        <v>67000000</v>
      </c>
      <c r="C18" s="18">
        <v>67000000</v>
      </c>
      <c r="D18" s="18">
        <v>68000000</v>
      </c>
      <c r="E18" s="18">
        <v>68000000</v>
      </c>
      <c r="F18" s="18">
        <v>69000000</v>
      </c>
      <c r="G18" s="18">
        <v>69000000</v>
      </c>
      <c r="H18" s="18">
        <v>70000000</v>
      </c>
      <c r="I18" s="18">
        <v>71000000</v>
      </c>
      <c r="J18" s="18">
        <v>71000000</v>
      </c>
      <c r="K18" s="18">
        <v>72000000</v>
      </c>
      <c r="L18" s="18">
        <v>72000000</v>
      </c>
      <c r="M18" s="18">
        <v>73000000</v>
      </c>
      <c r="N18" s="18">
        <v>73500000</v>
      </c>
      <c r="O18" s="29">
        <v>75500000</v>
      </c>
      <c r="P18" s="29">
        <v>75900000</v>
      </c>
      <c r="Q18" s="18">
        <v>79100000</v>
      </c>
      <c r="R18" s="18">
        <f>Q18+791000</f>
        <v>79891000</v>
      </c>
      <c r="S18" s="18">
        <f t="shared" ref="S18:AA18" si="2">R18+(R18/100)</f>
        <v>80689910</v>
      </c>
      <c r="T18" s="18">
        <f t="shared" si="2"/>
        <v>81496809.099999994</v>
      </c>
      <c r="U18" s="18">
        <f t="shared" si="2"/>
        <v>82311777.191</v>
      </c>
      <c r="V18" s="18">
        <f t="shared" si="2"/>
        <v>83134894.962909997</v>
      </c>
      <c r="W18" s="18">
        <f t="shared" si="2"/>
        <v>83966243.912539095</v>
      </c>
      <c r="X18" s="18">
        <f t="shared" si="2"/>
        <v>84805906.351664484</v>
      </c>
      <c r="Y18" s="18">
        <f t="shared" si="2"/>
        <v>85653965.41518113</v>
      </c>
      <c r="Z18" s="18">
        <f t="shared" si="2"/>
        <v>86510505.069332942</v>
      </c>
      <c r="AA18" s="18">
        <f t="shared" si="2"/>
        <v>87375610.120026276</v>
      </c>
      <c r="AC18" s="70" t="s">
        <v>29</v>
      </c>
    </row>
    <row r="19" spans="1:29" s="13" customFormat="1" ht="13.5" customHeight="1" x14ac:dyDescent="0.25">
      <c r="A19" s="20" t="s">
        <v>12</v>
      </c>
      <c r="B19" s="22" t="s">
        <v>2</v>
      </c>
      <c r="C19" s="59">
        <v>0</v>
      </c>
      <c r="D19" s="19">
        <v>1.4999999999999999E-2</v>
      </c>
      <c r="E19" s="59">
        <v>0</v>
      </c>
      <c r="F19" s="19">
        <v>1.4999999999999999E-2</v>
      </c>
      <c r="G19" s="59">
        <v>0</v>
      </c>
      <c r="H19" s="19">
        <v>1.4999999999999999E-2</v>
      </c>
      <c r="I19" s="19">
        <v>1.4E-2</v>
      </c>
      <c r="J19" s="59">
        <v>0</v>
      </c>
      <c r="K19" s="19">
        <v>1.4E-2</v>
      </c>
      <c r="L19" s="59">
        <v>0</v>
      </c>
      <c r="M19" s="19">
        <v>1.4E-2</v>
      </c>
      <c r="N19" s="19">
        <v>7.0000000000000001E-3</v>
      </c>
      <c r="O19" s="30">
        <v>2.7E-2</v>
      </c>
      <c r="P19" s="30">
        <v>5.0000000000000001E-3</v>
      </c>
      <c r="Q19" s="19">
        <v>4.2000000000000003E-2</v>
      </c>
      <c r="R19" s="117">
        <f>AVERAGE(C19:Q19)</f>
        <v>1.12E-2</v>
      </c>
      <c r="S19" s="118"/>
      <c r="T19" s="118"/>
      <c r="U19" s="118"/>
      <c r="V19" s="118"/>
      <c r="W19" s="118"/>
      <c r="X19" s="118"/>
      <c r="Y19" s="118"/>
      <c r="Z19" s="118"/>
      <c r="AA19" s="118"/>
      <c r="AC19" s="70" t="s">
        <v>30</v>
      </c>
    </row>
    <row r="20" spans="1:29" s="13" customFormat="1" ht="13.5" customHeight="1" x14ac:dyDescent="0.25">
      <c r="A20" s="20" t="s">
        <v>15</v>
      </c>
      <c r="B20" s="22" t="s">
        <v>2</v>
      </c>
      <c r="C20" s="22" t="s">
        <v>2</v>
      </c>
      <c r="D20" s="22" t="s">
        <v>2</v>
      </c>
      <c r="E20" s="22" t="s">
        <v>2</v>
      </c>
      <c r="F20" s="22" t="s">
        <v>2</v>
      </c>
      <c r="G20" s="22" t="s">
        <v>2</v>
      </c>
      <c r="H20" s="22" t="s">
        <v>2</v>
      </c>
      <c r="I20" s="22" t="s">
        <v>2</v>
      </c>
      <c r="J20" s="22" t="s">
        <v>2</v>
      </c>
      <c r="K20" s="22" t="s">
        <v>2</v>
      </c>
      <c r="L20" s="22" t="s">
        <v>2</v>
      </c>
      <c r="M20" s="5">
        <v>4060000</v>
      </c>
      <c r="N20" s="5">
        <v>3850000</v>
      </c>
      <c r="O20" s="5">
        <v>4180000</v>
      </c>
      <c r="P20" s="5">
        <v>4310000</v>
      </c>
      <c r="Q20" s="7">
        <v>5040000</v>
      </c>
      <c r="R20" s="113">
        <f>AVERAGE(M20:Q20)</f>
        <v>4288000</v>
      </c>
      <c r="S20" s="114"/>
      <c r="T20" s="114"/>
      <c r="U20" s="114"/>
      <c r="V20" s="114"/>
      <c r="W20" s="114"/>
      <c r="X20" s="114"/>
      <c r="Y20" s="114"/>
      <c r="Z20" s="114"/>
      <c r="AA20" s="115"/>
      <c r="AC20" s="82" t="s">
        <v>31</v>
      </c>
    </row>
    <row r="21" spans="1:29" s="13" customFormat="1" ht="13.5" customHeight="1" x14ac:dyDescent="0.25">
      <c r="A21" s="20" t="s">
        <v>16</v>
      </c>
      <c r="B21" s="22" t="s">
        <v>2</v>
      </c>
      <c r="C21" s="22" t="s">
        <v>2</v>
      </c>
      <c r="D21" s="22" t="s">
        <v>2</v>
      </c>
      <c r="E21" s="22" t="s">
        <v>2</v>
      </c>
      <c r="F21" s="22" t="s">
        <v>2</v>
      </c>
      <c r="G21" s="22" t="s">
        <v>2</v>
      </c>
      <c r="H21" s="22" t="s">
        <v>2</v>
      </c>
      <c r="I21" s="22" t="s">
        <v>2</v>
      </c>
      <c r="J21" s="22" t="s">
        <v>2</v>
      </c>
      <c r="K21" s="22" t="s">
        <v>2</v>
      </c>
      <c r="L21" s="22" t="s">
        <v>2</v>
      </c>
      <c r="M21" s="18">
        <f>M20-(M18-L18)</f>
        <v>3060000</v>
      </c>
      <c r="N21" s="18">
        <f>N20-(N18-M18)</f>
        <v>3350000</v>
      </c>
      <c r="O21" s="29">
        <f>O20-(O18-N18)</f>
        <v>2180000</v>
      </c>
      <c r="P21" s="29">
        <f>P20-(P18-O18)</f>
        <v>3910000</v>
      </c>
      <c r="Q21" s="18">
        <f>Q20-(Q18-P18)</f>
        <v>1840000</v>
      </c>
      <c r="R21" s="124">
        <f>AVERAGE(M21:Q21)</f>
        <v>2868000</v>
      </c>
      <c r="S21" s="125"/>
      <c r="T21" s="125"/>
      <c r="U21" s="125"/>
      <c r="V21" s="125"/>
      <c r="W21" s="125"/>
      <c r="X21" s="125"/>
      <c r="Y21" s="125"/>
      <c r="Z21" s="125"/>
      <c r="AA21" s="126"/>
      <c r="AC21" s="82" t="s">
        <v>32</v>
      </c>
    </row>
    <row r="22" spans="1:29" s="13" customFormat="1" ht="13.5" customHeight="1" x14ac:dyDescent="0.25">
      <c r="A22" s="23" t="s">
        <v>17</v>
      </c>
      <c r="B22" s="22" t="s">
        <v>2</v>
      </c>
      <c r="C22" s="22" t="s">
        <v>2</v>
      </c>
      <c r="D22" s="22" t="s">
        <v>2</v>
      </c>
      <c r="E22" s="22" t="s">
        <v>2</v>
      </c>
      <c r="F22" s="22" t="s">
        <v>2</v>
      </c>
      <c r="G22" s="22" t="s">
        <v>2</v>
      </c>
      <c r="H22" s="22" t="s">
        <v>2</v>
      </c>
      <c r="I22" s="22" t="s">
        <v>2</v>
      </c>
      <c r="J22" s="22" t="s">
        <v>2</v>
      </c>
      <c r="K22" s="22" t="s">
        <v>2</v>
      </c>
      <c r="L22" s="22" t="s">
        <v>2</v>
      </c>
      <c r="M22" s="127">
        <v>5.0000000000000001E-3</v>
      </c>
      <c r="N22" s="128"/>
      <c r="O22" s="128"/>
      <c r="P22" s="128"/>
      <c r="Q22" s="129"/>
      <c r="R22" s="117">
        <v>0.01</v>
      </c>
      <c r="S22" s="117"/>
      <c r="T22" s="117"/>
      <c r="U22" s="117"/>
      <c r="V22" s="117"/>
      <c r="W22" s="130">
        <v>0.02</v>
      </c>
      <c r="X22" s="130"/>
      <c r="Y22" s="130"/>
      <c r="Z22" s="130"/>
      <c r="AA22" s="131"/>
      <c r="AC22" s="70" t="s">
        <v>33</v>
      </c>
    </row>
    <row r="23" spans="1:29" s="13" customFormat="1" ht="13.5" customHeight="1" x14ac:dyDescent="0.25">
      <c r="A23" s="23" t="s">
        <v>19</v>
      </c>
      <c r="B23" s="22" t="s">
        <v>2</v>
      </c>
      <c r="C23" s="22" t="s">
        <v>2</v>
      </c>
      <c r="D23" s="22" t="s">
        <v>2</v>
      </c>
      <c r="E23" s="22" t="s">
        <v>2</v>
      </c>
      <c r="F23" s="22" t="s">
        <v>2</v>
      </c>
      <c r="G23" s="22" t="s">
        <v>2</v>
      </c>
      <c r="H23" s="22" t="s">
        <v>2</v>
      </c>
      <c r="I23" s="22" t="s">
        <v>2</v>
      </c>
      <c r="J23" s="22" t="s">
        <v>2</v>
      </c>
      <c r="K23" s="22" t="s">
        <v>2</v>
      </c>
      <c r="L23" s="22" t="s">
        <v>2</v>
      </c>
      <c r="M23" s="5">
        <v>15125</v>
      </c>
      <c r="N23" s="5">
        <v>21600</v>
      </c>
      <c r="O23" s="5">
        <v>39200</v>
      </c>
      <c r="P23" s="18">
        <v>75950</v>
      </c>
      <c r="Q23" s="18">
        <v>103200</v>
      </c>
      <c r="R23" s="18">
        <v>147240</v>
      </c>
      <c r="S23" s="18">
        <v>199785.60000000001</v>
      </c>
      <c r="T23" s="18">
        <v>263593.00800000003</v>
      </c>
      <c r="U23" s="18">
        <v>337150.71935999999</v>
      </c>
      <c r="V23" s="18">
        <v>416967.04445759999</v>
      </c>
      <c r="W23" s="18">
        <v>497478.91362623998</v>
      </c>
      <c r="X23" s="18">
        <v>580062.0665339136</v>
      </c>
      <c r="Y23" s="18">
        <v>665560.29708332231</v>
      </c>
      <c r="Z23" s="18">
        <v>745427.53273332096</v>
      </c>
      <c r="AA23" s="18">
        <v>820926.49707038631</v>
      </c>
      <c r="AC23" s="70" t="s">
        <v>31</v>
      </c>
    </row>
    <row r="24" spans="1:29" s="13" customFormat="1" ht="13.5" customHeight="1" x14ac:dyDescent="0.25">
      <c r="A24" s="23" t="s">
        <v>18</v>
      </c>
      <c r="B24" s="22" t="s">
        <v>2</v>
      </c>
      <c r="C24" s="22" t="s">
        <v>2</v>
      </c>
      <c r="D24" s="22" t="s">
        <v>2</v>
      </c>
      <c r="E24" s="22" t="s">
        <v>2</v>
      </c>
      <c r="F24" s="22" t="s">
        <v>2</v>
      </c>
      <c r="G24" s="22" t="s">
        <v>2</v>
      </c>
      <c r="H24" s="22" t="s">
        <v>2</v>
      </c>
      <c r="I24" s="22" t="s">
        <v>2</v>
      </c>
      <c r="J24" s="22" t="s">
        <v>2</v>
      </c>
      <c r="K24" s="22" t="s">
        <v>2</v>
      </c>
      <c r="L24" s="22" t="s">
        <v>2</v>
      </c>
      <c r="M24" s="18">
        <f>M23*M22</f>
        <v>75.625</v>
      </c>
      <c r="N24" s="18">
        <f>N23*M22</f>
        <v>108</v>
      </c>
      <c r="O24" s="18">
        <f>O23*M22</f>
        <v>196</v>
      </c>
      <c r="P24" s="18">
        <f>P23*M22</f>
        <v>379.75</v>
      </c>
      <c r="Q24" s="18">
        <f>Q23*M22</f>
        <v>516</v>
      </c>
      <c r="R24" s="18">
        <f>R23*R22</f>
        <v>1472.4</v>
      </c>
      <c r="S24" s="18">
        <f>S23*R22</f>
        <v>1997.856</v>
      </c>
      <c r="T24" s="18">
        <f>T23*R22</f>
        <v>2635.9300800000005</v>
      </c>
      <c r="U24" s="18">
        <f>U23*R22</f>
        <v>3371.5071935999999</v>
      </c>
      <c r="V24" s="18">
        <f>V23*R22</f>
        <v>4169.6704445759997</v>
      </c>
      <c r="W24" s="18">
        <f>W23*W22</f>
        <v>9949.5782725247991</v>
      </c>
      <c r="X24" s="18">
        <f>X23*W22</f>
        <v>11601.241330678273</v>
      </c>
      <c r="Y24" s="18">
        <f>Y23*W22</f>
        <v>13311.205941666447</v>
      </c>
      <c r="Z24" s="18">
        <f>Z23*W22</f>
        <v>14908.55065466642</v>
      </c>
      <c r="AA24" s="18">
        <f>AA23*W22</f>
        <v>16418.529941407727</v>
      </c>
      <c r="AC24" s="70" t="s">
        <v>36</v>
      </c>
    </row>
    <row r="25" spans="1:29" s="13" customFormat="1" ht="13.5" customHeight="1" x14ac:dyDescent="0.25">
      <c r="A25" s="21" t="s">
        <v>13</v>
      </c>
      <c r="B25" s="22" t="s">
        <v>2</v>
      </c>
      <c r="C25" s="22" t="s">
        <v>2</v>
      </c>
      <c r="D25" s="22" t="s">
        <v>2</v>
      </c>
      <c r="E25" s="22" t="s">
        <v>2</v>
      </c>
      <c r="F25" s="22" t="s">
        <v>2</v>
      </c>
      <c r="G25" s="22" t="s">
        <v>2</v>
      </c>
      <c r="H25" s="22" t="s">
        <v>2</v>
      </c>
      <c r="I25" s="22" t="s">
        <v>2</v>
      </c>
      <c r="J25" s="22" t="s">
        <v>2</v>
      </c>
      <c r="K25" s="22" t="s">
        <v>2</v>
      </c>
      <c r="L25" s="22" t="s">
        <v>2</v>
      </c>
      <c r="M25" s="22" t="s">
        <v>2</v>
      </c>
      <c r="N25" s="22" t="s">
        <v>2</v>
      </c>
      <c r="O25" s="22" t="s">
        <v>2</v>
      </c>
      <c r="P25" s="35">
        <f>P26/P18</f>
        <v>6.4825296442687745E-3</v>
      </c>
      <c r="Q25" s="24">
        <f>Q26/Q18</f>
        <v>7.5184323640960808E-3</v>
      </c>
      <c r="R25" s="24">
        <f t="shared" ref="R25:AA25" si="3">R26/R18</f>
        <v>9.2685734313001453E-3</v>
      </c>
      <c r="S25" s="24">
        <f t="shared" si="3"/>
        <v>1.1628013267086306E-2</v>
      </c>
      <c r="T25" s="24">
        <f t="shared" si="3"/>
        <v>1.4714937126538369E-2</v>
      </c>
      <c r="U25" s="24">
        <f t="shared" si="3"/>
        <v>1.8624304885668519E-2</v>
      </c>
      <c r="V25" s="24">
        <f t="shared" si="3"/>
        <v>2.3405298208021147E-2</v>
      </c>
      <c r="W25" s="24">
        <f t="shared" si="3"/>
        <v>2.8979816531840345E-2</v>
      </c>
      <c r="X25" s="24">
        <f t="shared" si="3"/>
        <v>3.5395968250240377E-2</v>
      </c>
      <c r="Y25" s="24">
        <f t="shared" si="3"/>
        <v>4.2660444756833137E-2</v>
      </c>
      <c r="Z25" s="24">
        <f t="shared" si="3"/>
        <v>5.0682344743713255E-2</v>
      </c>
      <c r="AA25" s="24">
        <f t="shared" si="3"/>
        <v>5.9388005438560508E-2</v>
      </c>
      <c r="AC25" s="70" t="s">
        <v>47</v>
      </c>
    </row>
    <row r="26" spans="1:29" s="13" customFormat="1" ht="15.75" customHeight="1" x14ac:dyDescent="0.25">
      <c r="A26" s="21" t="s">
        <v>14</v>
      </c>
      <c r="B26" s="22" t="s">
        <v>2</v>
      </c>
      <c r="C26" s="22" t="s">
        <v>2</v>
      </c>
      <c r="D26" s="22" t="s">
        <v>2</v>
      </c>
      <c r="E26" s="22" t="s">
        <v>2</v>
      </c>
      <c r="F26" s="22" t="s">
        <v>2</v>
      </c>
      <c r="G26" s="22" t="s">
        <v>2</v>
      </c>
      <c r="H26" s="22" t="s">
        <v>2</v>
      </c>
      <c r="I26" s="22" t="s">
        <v>2</v>
      </c>
      <c r="J26" s="22" t="s">
        <v>2</v>
      </c>
      <c r="K26" s="22" t="s">
        <v>2</v>
      </c>
      <c r="L26" s="22" t="s">
        <v>2</v>
      </c>
      <c r="M26" s="22" t="s">
        <v>2</v>
      </c>
      <c r="N26" s="22" t="s">
        <v>2</v>
      </c>
      <c r="O26" s="22" t="s">
        <v>2</v>
      </c>
      <c r="P26" s="29">
        <v>492024</v>
      </c>
      <c r="Q26" s="18">
        <f>P26+Q23-Q24</f>
        <v>594708</v>
      </c>
      <c r="R26" s="18">
        <f t="shared" ref="R26:AA26" si="4">Q26+R23-R24</f>
        <v>740475.6</v>
      </c>
      <c r="S26" s="18">
        <f t="shared" si="4"/>
        <v>938263.34399999992</v>
      </c>
      <c r="T26" s="18">
        <f t="shared" si="4"/>
        <v>1199220.4219199999</v>
      </c>
      <c r="U26" s="18">
        <f t="shared" si="4"/>
        <v>1532999.6340863998</v>
      </c>
      <c r="V26" s="18">
        <f t="shared" si="4"/>
        <v>1945797.0080994237</v>
      </c>
      <c r="W26" s="18">
        <f t="shared" si="4"/>
        <v>2433326.3434531391</v>
      </c>
      <c r="X26" s="18">
        <f t="shared" si="4"/>
        <v>3001787.1686563748</v>
      </c>
      <c r="Y26" s="18">
        <f t="shared" si="4"/>
        <v>3654036.2597980308</v>
      </c>
      <c r="Z26" s="18">
        <f t="shared" si="4"/>
        <v>4384555.2418766851</v>
      </c>
      <c r="AA26" s="18">
        <f t="shared" si="4"/>
        <v>5189063.2090056632</v>
      </c>
      <c r="AC26" s="70" t="s">
        <v>38</v>
      </c>
    </row>
    <row r="27" spans="1:29" x14ac:dyDescent="0.25">
      <c r="N27" s="53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53"/>
      <c r="AC27" s="53"/>
    </row>
    <row r="28" spans="1:29" x14ac:dyDescent="0.25">
      <c r="N28" s="53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53"/>
      <c r="AC28" s="53"/>
    </row>
    <row r="29" spans="1:29" x14ac:dyDescent="0.25">
      <c r="A29" s="25" t="s">
        <v>22</v>
      </c>
      <c r="N29" s="53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53"/>
      <c r="AC29" s="53"/>
    </row>
    <row r="30" spans="1:29" x14ac:dyDescent="0.25">
      <c r="A30" s="9" t="s">
        <v>20</v>
      </c>
      <c r="N30" s="53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53"/>
      <c r="AC30" s="53"/>
    </row>
    <row r="31" spans="1:29" x14ac:dyDescent="0.25">
      <c r="A31" s="25" t="s">
        <v>21</v>
      </c>
      <c r="N31" s="53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53"/>
      <c r="AC31" s="53"/>
    </row>
    <row r="32" spans="1:29" x14ac:dyDescent="0.25">
      <c r="N32" s="53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53"/>
      <c r="AC32" s="53"/>
    </row>
    <row r="33" spans="1:21" s="55" customFormat="1" ht="18.75" x14ac:dyDescent="0.3">
      <c r="A33" s="58" t="s">
        <v>79</v>
      </c>
    </row>
    <row r="34" spans="1:21" x14ac:dyDescent="0.25">
      <c r="C34" s="132" t="s">
        <v>8</v>
      </c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"/>
      <c r="O34" s="13"/>
    </row>
    <row r="35" spans="1:21" x14ac:dyDescent="0.25">
      <c r="B35" s="3">
        <v>2019</v>
      </c>
      <c r="C35" s="36">
        <v>2020</v>
      </c>
      <c r="D35" s="36">
        <v>2021</v>
      </c>
      <c r="E35" s="36">
        <v>2022</v>
      </c>
      <c r="F35" s="36">
        <v>2023</v>
      </c>
      <c r="G35" s="36">
        <v>2024</v>
      </c>
      <c r="H35" s="36">
        <v>2025</v>
      </c>
      <c r="I35" s="36">
        <v>2026</v>
      </c>
      <c r="J35" s="36">
        <v>2027</v>
      </c>
      <c r="K35" s="36">
        <v>2028</v>
      </c>
      <c r="L35" s="36">
        <v>2029</v>
      </c>
      <c r="M35" s="36">
        <v>2030</v>
      </c>
      <c r="N35" s="13"/>
      <c r="O35" s="120" t="s">
        <v>23</v>
      </c>
      <c r="P35" s="120"/>
      <c r="Q35" s="120"/>
      <c r="R35" s="66"/>
      <c r="S35" s="66"/>
      <c r="T35" s="66"/>
      <c r="U35" s="66"/>
    </row>
    <row r="36" spans="1:21" ht="14.45" customHeight="1" x14ac:dyDescent="0.25">
      <c r="A36" s="4" t="s">
        <v>48</v>
      </c>
      <c r="B36" s="7">
        <v>82800000</v>
      </c>
      <c r="C36" s="7">
        <v>82923000</v>
      </c>
      <c r="D36" s="7">
        <v>83074000</v>
      </c>
      <c r="E36" s="7">
        <v>83195000</v>
      </c>
      <c r="F36" s="7">
        <v>83282000</v>
      </c>
      <c r="G36" s="7">
        <v>83330000</v>
      </c>
      <c r="H36" s="7">
        <v>83341000</v>
      </c>
      <c r="I36" s="7">
        <v>83320000</v>
      </c>
      <c r="J36" s="7">
        <v>83269000</v>
      </c>
      <c r="K36" s="7">
        <v>83200000</v>
      </c>
      <c r="L36" s="7">
        <v>83116000</v>
      </c>
      <c r="M36" s="7">
        <v>83026000</v>
      </c>
      <c r="N36" s="13"/>
      <c r="O36" s="121" t="s">
        <v>49</v>
      </c>
      <c r="P36" s="121"/>
      <c r="Q36" s="121"/>
      <c r="R36" s="66"/>
      <c r="S36" s="66"/>
      <c r="T36" s="66"/>
      <c r="U36" s="66"/>
    </row>
    <row r="37" spans="1:21" x14ac:dyDescent="0.25">
      <c r="A37" s="4" t="s">
        <v>42</v>
      </c>
      <c r="B37" s="18">
        <v>41500000</v>
      </c>
      <c r="C37" s="7">
        <v>41660000</v>
      </c>
      <c r="D37" s="7">
        <v>41808000</v>
      </c>
      <c r="E37" s="7">
        <v>41935000</v>
      </c>
      <c r="F37" s="7">
        <v>42038000</v>
      </c>
      <c r="G37" s="7">
        <v>42120000</v>
      </c>
      <c r="H37" s="7">
        <v>42185000</v>
      </c>
      <c r="I37" s="7">
        <v>42232000</v>
      </c>
      <c r="J37" s="7">
        <v>42264000</v>
      </c>
      <c r="K37" s="7">
        <v>42294000</v>
      </c>
      <c r="L37" s="7">
        <v>42318000</v>
      </c>
      <c r="M37" s="7">
        <v>42343000</v>
      </c>
      <c r="N37" s="13"/>
      <c r="O37" s="121"/>
      <c r="P37" s="121"/>
      <c r="Q37" s="121"/>
      <c r="U37" s="67"/>
    </row>
    <row r="38" spans="1:21" ht="14.45" customHeight="1" x14ac:dyDescent="0.25">
      <c r="A38" s="38" t="s">
        <v>50</v>
      </c>
      <c r="B38" s="37">
        <v>75900000</v>
      </c>
      <c r="C38" s="18">
        <v>79100000</v>
      </c>
      <c r="D38" s="18">
        <f>C38+791000</f>
        <v>79891000</v>
      </c>
      <c r="E38" s="18">
        <f t="shared" ref="E38:M38" si="5">D38+(D38/100)</f>
        <v>80689910</v>
      </c>
      <c r="F38" s="18">
        <f t="shared" si="5"/>
        <v>81496809.099999994</v>
      </c>
      <c r="G38" s="18">
        <f t="shared" si="5"/>
        <v>82311777.191</v>
      </c>
      <c r="H38" s="18">
        <f t="shared" si="5"/>
        <v>83134894.962909997</v>
      </c>
      <c r="I38" s="18">
        <f t="shared" si="5"/>
        <v>83966243.912539095</v>
      </c>
      <c r="J38" s="18">
        <f t="shared" si="5"/>
        <v>84805906.351664484</v>
      </c>
      <c r="K38" s="18">
        <f t="shared" si="5"/>
        <v>85653965.41518113</v>
      </c>
      <c r="L38" s="18">
        <f t="shared" si="5"/>
        <v>86510505.069332942</v>
      </c>
      <c r="M38" s="18">
        <f t="shared" si="5"/>
        <v>87375610.120026276</v>
      </c>
      <c r="N38" s="13"/>
      <c r="O38" s="121" t="s">
        <v>54</v>
      </c>
      <c r="P38" s="121"/>
      <c r="Q38" s="121"/>
      <c r="U38" s="67"/>
    </row>
    <row r="39" spans="1:21" x14ac:dyDescent="0.25">
      <c r="A39" s="38" t="s">
        <v>51</v>
      </c>
      <c r="B39" s="7">
        <v>492024</v>
      </c>
      <c r="C39" s="7">
        <v>594708</v>
      </c>
      <c r="D39" s="7">
        <v>740475.6</v>
      </c>
      <c r="E39" s="7">
        <v>938263.34399999992</v>
      </c>
      <c r="F39" s="7">
        <v>1199220.4219199999</v>
      </c>
      <c r="G39" s="7">
        <v>1532999.6340863998</v>
      </c>
      <c r="H39" s="7">
        <v>1945797.0080994237</v>
      </c>
      <c r="I39" s="7">
        <v>2433326.3434531391</v>
      </c>
      <c r="J39" s="7">
        <v>3001787.1686563748</v>
      </c>
      <c r="K39" s="7">
        <v>3654036.2597980308</v>
      </c>
      <c r="L39" s="7">
        <v>4384555.2418766851</v>
      </c>
      <c r="M39" s="7">
        <v>5189063.2090056632</v>
      </c>
      <c r="N39" s="13"/>
      <c r="O39" s="121"/>
      <c r="P39" s="121"/>
      <c r="Q39" s="121"/>
      <c r="R39" s="67"/>
      <c r="U39" s="67"/>
    </row>
    <row r="40" spans="1:21" ht="14.45" customHeight="1" x14ac:dyDescent="0.25">
      <c r="A40" s="38" t="s">
        <v>53</v>
      </c>
      <c r="B40" s="7">
        <f t="shared" ref="B40:M40" si="6">B38/B36*1000</f>
        <v>916.66666666666663</v>
      </c>
      <c r="C40" s="7">
        <f t="shared" si="6"/>
        <v>953.8969887727169</v>
      </c>
      <c r="D40" s="7">
        <f t="shared" si="6"/>
        <v>961.68476298240125</v>
      </c>
      <c r="E40" s="7">
        <f t="shared" si="6"/>
        <v>969.88893563315105</v>
      </c>
      <c r="F40" s="7">
        <f t="shared" si="6"/>
        <v>978.56450493503985</v>
      </c>
      <c r="G40" s="7">
        <f t="shared" si="6"/>
        <v>987.78083752550106</v>
      </c>
      <c r="H40" s="7">
        <f t="shared" si="6"/>
        <v>997.52696707394921</v>
      </c>
      <c r="I40" s="7">
        <f t="shared" si="6"/>
        <v>1007.756167937339</v>
      </c>
      <c r="J40" s="7">
        <f t="shared" si="6"/>
        <v>1018.457125120567</v>
      </c>
      <c r="K40" s="7">
        <f t="shared" si="6"/>
        <v>1029.4947766247733</v>
      </c>
      <c r="L40" s="7">
        <f t="shared" si="6"/>
        <v>1040.8405730465006</v>
      </c>
      <c r="M40" s="7">
        <f t="shared" si="6"/>
        <v>1052.3885303402101</v>
      </c>
      <c r="N40" s="13"/>
      <c r="O40" s="121" t="s">
        <v>37</v>
      </c>
      <c r="P40" s="121"/>
      <c r="Q40" s="121"/>
    </row>
    <row r="41" spans="1:21" s="49" customFormat="1" x14ac:dyDescent="0.25">
      <c r="A41" s="48" t="s">
        <v>52</v>
      </c>
      <c r="B41" s="50">
        <f t="shared" ref="B41:M41" si="7">B39/B36*1000</f>
        <v>5.94231884057971</v>
      </c>
      <c r="C41" s="50">
        <f t="shared" si="7"/>
        <v>7.17180999240259</v>
      </c>
      <c r="D41" s="50">
        <f t="shared" si="7"/>
        <v>8.9134458434648636</v>
      </c>
      <c r="E41" s="50">
        <f t="shared" si="7"/>
        <v>11.277881411142495</v>
      </c>
      <c r="F41" s="50">
        <f t="shared" si="7"/>
        <v>14.399515164381256</v>
      </c>
      <c r="G41" s="50">
        <f t="shared" si="7"/>
        <v>18.39673147829593</v>
      </c>
      <c r="H41" s="50">
        <f t="shared" si="7"/>
        <v>23.347416134908674</v>
      </c>
      <c r="I41" s="50">
        <f t="shared" si="7"/>
        <v>29.204588855654574</v>
      </c>
      <c r="J41" s="50">
        <f t="shared" si="7"/>
        <v>36.049276064998679</v>
      </c>
      <c r="K41" s="50">
        <f t="shared" si="7"/>
        <v>43.918705045649411</v>
      </c>
      <c r="L41" s="50">
        <f t="shared" si="7"/>
        <v>52.752240746386796</v>
      </c>
      <c r="M41" s="50">
        <f t="shared" si="7"/>
        <v>62.499255763323099</v>
      </c>
      <c r="O41" s="121"/>
      <c r="P41" s="121"/>
      <c r="Q41" s="121"/>
    </row>
    <row r="42" spans="1:21" ht="29.1" customHeight="1" x14ac:dyDescent="0.25">
      <c r="A42" s="47" t="s">
        <v>65</v>
      </c>
      <c r="B42" s="46">
        <f>B41*50%</f>
        <v>2.971159420289855</v>
      </c>
      <c r="C42" s="46">
        <f>C41*50%</f>
        <v>3.585904996201295</v>
      </c>
      <c r="D42" s="46">
        <f t="shared" ref="D42:M42" si="8">D41/2</f>
        <v>4.4567229217324318</v>
      </c>
      <c r="E42" s="46">
        <f t="shared" si="8"/>
        <v>5.6389407055712475</v>
      </c>
      <c r="F42" s="46">
        <f t="shared" si="8"/>
        <v>7.1997575821906281</v>
      </c>
      <c r="G42" s="46">
        <f t="shared" si="8"/>
        <v>9.198365739147965</v>
      </c>
      <c r="H42" s="46">
        <f t="shared" si="8"/>
        <v>11.673708067454337</v>
      </c>
      <c r="I42" s="46">
        <f t="shared" si="8"/>
        <v>14.602294427827287</v>
      </c>
      <c r="J42" s="46">
        <f t="shared" si="8"/>
        <v>18.02463803249934</v>
      </c>
      <c r="K42" s="46">
        <f t="shared" si="8"/>
        <v>21.959352522824705</v>
      </c>
      <c r="L42" s="46">
        <f t="shared" si="8"/>
        <v>26.376120373193398</v>
      </c>
      <c r="M42" s="46">
        <f t="shared" si="8"/>
        <v>31.249627881661549</v>
      </c>
      <c r="N42" s="13"/>
      <c r="O42" s="121" t="s">
        <v>68</v>
      </c>
      <c r="P42" s="121"/>
      <c r="Q42" s="121"/>
    </row>
    <row r="43" spans="1:21" ht="30" x14ac:dyDescent="0.25">
      <c r="A43" s="43" t="s">
        <v>66</v>
      </c>
      <c r="B43" s="51">
        <f t="shared" ref="B43:M43" si="9">B41/2</f>
        <v>2.971159420289855</v>
      </c>
      <c r="C43" s="51">
        <f t="shared" si="9"/>
        <v>3.585904996201295</v>
      </c>
      <c r="D43" s="51">
        <f t="shared" si="9"/>
        <v>4.4567229217324318</v>
      </c>
      <c r="E43" s="51">
        <f t="shared" si="9"/>
        <v>5.6389407055712475</v>
      </c>
      <c r="F43" s="51">
        <f t="shared" si="9"/>
        <v>7.1997575821906281</v>
      </c>
      <c r="G43" s="51">
        <f t="shared" si="9"/>
        <v>9.198365739147965</v>
      </c>
      <c r="H43" s="51">
        <f t="shared" si="9"/>
        <v>11.673708067454337</v>
      </c>
      <c r="I43" s="51">
        <f t="shared" si="9"/>
        <v>14.602294427827287</v>
      </c>
      <c r="J43" s="51">
        <f t="shared" si="9"/>
        <v>18.02463803249934</v>
      </c>
      <c r="K43" s="51">
        <f t="shared" si="9"/>
        <v>21.959352522824705</v>
      </c>
      <c r="L43" s="51">
        <f t="shared" si="9"/>
        <v>26.376120373193398</v>
      </c>
      <c r="M43" s="51">
        <f t="shared" si="9"/>
        <v>31.249627881661549</v>
      </c>
      <c r="N43" s="13"/>
      <c r="O43" s="121"/>
      <c r="P43" s="121"/>
      <c r="Q43" s="121"/>
    </row>
    <row r="49" spans="1:15" x14ac:dyDescent="0.25">
      <c r="A49" s="31" t="s">
        <v>84</v>
      </c>
      <c r="B49" s="14"/>
      <c r="C49" s="14"/>
      <c r="D49" s="14"/>
      <c r="E49" s="14"/>
    </row>
    <row r="50" spans="1:15" x14ac:dyDescent="0.25">
      <c r="A50" s="31"/>
      <c r="B50" s="14"/>
      <c r="C50" s="14"/>
      <c r="D50" s="14"/>
      <c r="E50" s="14"/>
    </row>
    <row r="51" spans="1:15" x14ac:dyDescent="0.25">
      <c r="A51" s="13"/>
      <c r="B51" s="14"/>
      <c r="C51" s="14"/>
      <c r="D51" s="120" t="s">
        <v>23</v>
      </c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</row>
    <row r="52" spans="1:15" ht="30" x14ac:dyDescent="0.25">
      <c r="A52" s="23" t="s">
        <v>44</v>
      </c>
      <c r="B52" s="71">
        <v>0.02</v>
      </c>
      <c r="C52" s="14"/>
      <c r="D52" s="133" t="s">
        <v>41</v>
      </c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</row>
    <row r="53" spans="1:15" ht="29.1" customHeight="1" x14ac:dyDescent="0.25">
      <c r="A53" s="23" t="s">
        <v>39</v>
      </c>
      <c r="B53" s="71">
        <v>0.78</v>
      </c>
      <c r="C53" s="14"/>
      <c r="D53" s="134" t="s">
        <v>69</v>
      </c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</row>
    <row r="54" spans="1:15" ht="14.45" customHeight="1" x14ac:dyDescent="0.25">
      <c r="A54" s="23" t="s">
        <v>45</v>
      </c>
      <c r="B54" s="33">
        <f>B52*B53</f>
        <v>1.5600000000000001E-2</v>
      </c>
      <c r="C54" s="14"/>
      <c r="D54" s="134" t="s">
        <v>106</v>
      </c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</row>
    <row r="55" spans="1:15" x14ac:dyDescent="0.25">
      <c r="A55" s="32" t="s">
        <v>40</v>
      </c>
      <c r="B55" s="71">
        <v>0.76</v>
      </c>
      <c r="C55" s="14"/>
      <c r="D55" s="133" t="s">
        <v>41</v>
      </c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</row>
    <row r="56" spans="1:15" ht="14.45" customHeight="1" x14ac:dyDescent="0.25">
      <c r="A56" s="21" t="s">
        <v>42</v>
      </c>
      <c r="B56" s="18">
        <v>41500000</v>
      </c>
      <c r="C56" s="14"/>
      <c r="D56" s="134" t="s">
        <v>46</v>
      </c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</row>
    <row r="57" spans="1:15" x14ac:dyDescent="0.25">
      <c r="A57" s="21" t="s">
        <v>43</v>
      </c>
      <c r="B57" s="18">
        <f>B56*B55</f>
        <v>31540000</v>
      </c>
      <c r="C57" s="14"/>
      <c r="D57" s="123" t="s">
        <v>37</v>
      </c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</row>
    <row r="58" spans="1:15" ht="14.45" customHeight="1" x14ac:dyDescent="0.25">
      <c r="A58" s="88" t="s">
        <v>105</v>
      </c>
      <c r="B58" s="51">
        <f>B57*B54</f>
        <v>492024.00000000006</v>
      </c>
      <c r="C58" s="34"/>
      <c r="D58" s="121" t="s">
        <v>104</v>
      </c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</row>
    <row r="59" spans="1:15" x14ac:dyDescent="0.25"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</row>
    <row r="60" spans="1:15" x14ac:dyDescent="0.25">
      <c r="C60" s="52"/>
      <c r="D60" s="40"/>
      <c r="E60" s="40"/>
      <c r="F60" s="40"/>
      <c r="G60" s="40"/>
      <c r="H60" s="40"/>
      <c r="I60" s="40"/>
      <c r="J60" s="52"/>
    </row>
    <row r="61" spans="1:15" x14ac:dyDescent="0.25">
      <c r="C61" s="52"/>
      <c r="D61" s="40"/>
      <c r="E61" s="40"/>
      <c r="F61" s="40"/>
      <c r="G61" s="40"/>
      <c r="H61" s="40"/>
      <c r="I61" s="40"/>
      <c r="J61" s="52"/>
    </row>
    <row r="62" spans="1:15" x14ac:dyDescent="0.25">
      <c r="B62" s="89"/>
      <c r="D62" s="40"/>
      <c r="E62" s="40"/>
      <c r="F62" s="40"/>
      <c r="G62" s="40"/>
      <c r="H62" s="40"/>
      <c r="I62" s="40"/>
    </row>
  </sheetData>
  <sheetProtection algorithmName="SHA-512" hashValue="M+8dRsQKJAItROdC/Px2i7aFJkFRUGVztviM2x7HnKsBz3VYMXPlgAAyCh7szLLmptUro/G7CCc1aFuPLOvdAQ==" saltValue="7upIvCu4NYV3YMLMJpQ6oA==" spinCount="100000" sheet="1" objects="1" scenarios="1"/>
  <mergeCells count="29">
    <mergeCell ref="D58:O59"/>
    <mergeCell ref="D51:O51"/>
    <mergeCell ref="C34:M34"/>
    <mergeCell ref="D52:O52"/>
    <mergeCell ref="D53:O53"/>
    <mergeCell ref="D54:O54"/>
    <mergeCell ref="D55:O55"/>
    <mergeCell ref="D56:O56"/>
    <mergeCell ref="D57:O57"/>
    <mergeCell ref="O36:Q37"/>
    <mergeCell ref="O38:Q39"/>
    <mergeCell ref="O40:Q41"/>
    <mergeCell ref="O42:Q43"/>
    <mergeCell ref="R21:AA21"/>
    <mergeCell ref="M22:Q22"/>
    <mergeCell ref="R22:V22"/>
    <mergeCell ref="W22:AA22"/>
    <mergeCell ref="O35:Q35"/>
    <mergeCell ref="R20:AA20"/>
    <mergeCell ref="G2:P2"/>
    <mergeCell ref="G9:P9"/>
    <mergeCell ref="R16:AA16"/>
    <mergeCell ref="R19:AA19"/>
    <mergeCell ref="R4:U6"/>
    <mergeCell ref="R3:U3"/>
    <mergeCell ref="R7:U7"/>
    <mergeCell ref="R8:U8"/>
    <mergeCell ref="R9:U9"/>
    <mergeCell ref="R10:U10"/>
  </mergeCells>
  <hyperlinks>
    <hyperlink ref="A13" r:id="rId1" xr:uid="{FFFB08E7-1763-410E-905C-6CD800DFCCA3}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634B2-4064-402D-A124-462BC15C85FA}">
  <sheetPr codeName="Tabelle4"/>
  <dimension ref="A1:I56"/>
  <sheetViews>
    <sheetView showGridLines="0" topLeftCell="A13" zoomScaleNormal="100" workbookViewId="0">
      <selection activeCell="E19" sqref="E19:E27"/>
    </sheetView>
  </sheetViews>
  <sheetFormatPr baseColWidth="10" defaultRowHeight="15" x14ac:dyDescent="0.25"/>
  <cols>
    <col min="1" max="1" width="48.5703125" customWidth="1"/>
    <col min="2" max="2" width="23.85546875" bestFit="1" customWidth="1"/>
    <col min="3" max="6" width="25.42578125" customWidth="1"/>
    <col min="7" max="7" width="17" customWidth="1"/>
    <col min="8" max="8" width="14" bestFit="1" customWidth="1"/>
    <col min="9" max="9" width="39.140625" bestFit="1" customWidth="1"/>
    <col min="11" max="13" width="16.7109375" customWidth="1"/>
  </cols>
  <sheetData>
    <row r="1" spans="1:9" ht="18.75" x14ac:dyDescent="0.3">
      <c r="A1" s="54" t="s">
        <v>90</v>
      </c>
    </row>
    <row r="2" spans="1:9" s="39" customFormat="1" ht="45" x14ac:dyDescent="0.25">
      <c r="B2" s="60" t="s">
        <v>78</v>
      </c>
      <c r="C2" s="60" t="s">
        <v>70</v>
      </c>
      <c r="D2" s="60" t="s">
        <v>77</v>
      </c>
      <c r="E2" s="139" t="s">
        <v>80</v>
      </c>
      <c r="F2" s="140"/>
      <c r="H2" s="138" t="s">
        <v>23</v>
      </c>
      <c r="I2" s="138"/>
    </row>
    <row r="3" spans="1:9" ht="14.45" customHeight="1" x14ac:dyDescent="0.25">
      <c r="A3" s="61" t="s">
        <v>61</v>
      </c>
      <c r="B3" s="64">
        <v>1.25</v>
      </c>
      <c r="C3" s="64">
        <v>1.5</v>
      </c>
      <c r="D3" s="83">
        <v>0.5</v>
      </c>
      <c r="E3" s="64">
        <f t="shared" ref="E3:E11" si="0">B3*C3*D3</f>
        <v>0.9375</v>
      </c>
      <c r="F3" s="4" t="s">
        <v>74</v>
      </c>
      <c r="H3" s="84">
        <v>1.5</v>
      </c>
      <c r="I3" s="85" t="s">
        <v>97</v>
      </c>
    </row>
    <row r="4" spans="1:9" x14ac:dyDescent="0.25">
      <c r="A4" s="61" t="s">
        <v>55</v>
      </c>
      <c r="B4" s="64">
        <v>1.5</v>
      </c>
      <c r="C4" s="64">
        <v>1.5</v>
      </c>
      <c r="D4" s="64">
        <v>0.5</v>
      </c>
      <c r="E4" s="64">
        <f t="shared" si="0"/>
        <v>1.125</v>
      </c>
      <c r="F4" s="4" t="s">
        <v>73</v>
      </c>
      <c r="H4" s="84">
        <v>1.25</v>
      </c>
      <c r="I4" s="85" t="s">
        <v>101</v>
      </c>
    </row>
    <row r="5" spans="1:9" x14ac:dyDescent="0.25">
      <c r="A5" s="61" t="s">
        <v>60</v>
      </c>
      <c r="B5" s="64">
        <v>1.5</v>
      </c>
      <c r="C5" s="64">
        <v>1.25</v>
      </c>
      <c r="D5" s="64">
        <v>0.75</v>
      </c>
      <c r="E5" s="64">
        <f t="shared" si="0"/>
        <v>1.40625</v>
      </c>
      <c r="F5" s="4" t="s">
        <v>72</v>
      </c>
      <c r="H5" s="84">
        <v>1</v>
      </c>
      <c r="I5" s="85" t="s">
        <v>98</v>
      </c>
    </row>
    <row r="6" spans="1:9" x14ac:dyDescent="0.25">
      <c r="A6" s="62" t="s">
        <v>118</v>
      </c>
      <c r="B6" s="64">
        <v>1</v>
      </c>
      <c r="C6" s="64">
        <v>1</v>
      </c>
      <c r="D6" s="64">
        <v>1</v>
      </c>
      <c r="E6" s="64">
        <f t="shared" si="0"/>
        <v>1</v>
      </c>
      <c r="F6" s="4" t="s">
        <v>74</v>
      </c>
      <c r="H6" s="84">
        <v>0.75</v>
      </c>
      <c r="I6" s="85" t="s">
        <v>99</v>
      </c>
    </row>
    <row r="7" spans="1:9" x14ac:dyDescent="0.25">
      <c r="A7" s="61" t="s">
        <v>117</v>
      </c>
      <c r="B7" s="64">
        <v>0.5</v>
      </c>
      <c r="C7" s="64">
        <v>0.75</v>
      </c>
      <c r="D7" s="64">
        <v>1.25</v>
      </c>
      <c r="E7" s="64">
        <f t="shared" si="0"/>
        <v>0.46875</v>
      </c>
      <c r="F7" s="4" t="s">
        <v>76</v>
      </c>
      <c r="H7" s="84">
        <v>0.5</v>
      </c>
      <c r="I7" s="85" t="s">
        <v>100</v>
      </c>
    </row>
    <row r="8" spans="1:9" ht="14.45" customHeight="1" x14ac:dyDescent="0.25">
      <c r="A8" s="61" t="s">
        <v>59</v>
      </c>
      <c r="B8" s="64">
        <v>0.75</v>
      </c>
      <c r="C8" s="64">
        <v>0.75</v>
      </c>
      <c r="D8" s="64">
        <v>1.25</v>
      </c>
      <c r="E8" s="64">
        <f t="shared" si="0"/>
        <v>0.703125</v>
      </c>
      <c r="F8" s="4" t="s">
        <v>75</v>
      </c>
      <c r="H8" s="144" t="s">
        <v>111</v>
      </c>
      <c r="I8" s="144"/>
    </row>
    <row r="9" spans="1:9" x14ac:dyDescent="0.25">
      <c r="A9" s="61" t="s">
        <v>58</v>
      </c>
      <c r="B9" s="64">
        <v>1</v>
      </c>
      <c r="C9" s="64">
        <v>0.75</v>
      </c>
      <c r="D9" s="64">
        <v>1.5</v>
      </c>
      <c r="E9" s="64">
        <f t="shared" si="0"/>
        <v>1.125</v>
      </c>
      <c r="F9" s="4" t="s">
        <v>74</v>
      </c>
      <c r="H9" s="145"/>
      <c r="I9" s="145"/>
    </row>
    <row r="10" spans="1:9" x14ac:dyDescent="0.25">
      <c r="A10" s="61" t="s">
        <v>56</v>
      </c>
      <c r="B10" s="64">
        <v>0.75</v>
      </c>
      <c r="C10" s="64">
        <v>0.5</v>
      </c>
      <c r="D10" s="64">
        <v>1.25</v>
      </c>
      <c r="E10" s="64">
        <f t="shared" si="0"/>
        <v>0.46875</v>
      </c>
      <c r="F10" s="4" t="s">
        <v>76</v>
      </c>
      <c r="H10" s="145"/>
      <c r="I10" s="145"/>
    </row>
    <row r="11" spans="1:9" x14ac:dyDescent="0.25">
      <c r="A11" s="61" t="s">
        <v>57</v>
      </c>
      <c r="B11" s="64">
        <v>0.75</v>
      </c>
      <c r="C11" s="64">
        <v>0.5</v>
      </c>
      <c r="D11" s="64">
        <v>1.5</v>
      </c>
      <c r="E11" s="64">
        <f t="shared" si="0"/>
        <v>0.5625</v>
      </c>
      <c r="F11" s="4" t="s">
        <v>76</v>
      </c>
      <c r="H11" s="145"/>
      <c r="I11" s="145"/>
    </row>
    <row r="13" spans="1:9" x14ac:dyDescent="0.25">
      <c r="E13" s="63"/>
    </row>
    <row r="14" spans="1:9" ht="14.45" customHeight="1" x14ac:dyDescent="0.25">
      <c r="B14" s="141" t="s">
        <v>82</v>
      </c>
      <c r="C14" s="142"/>
      <c r="D14" s="143"/>
    </row>
    <row r="15" spans="1:9" x14ac:dyDescent="0.25">
      <c r="H15" s="69"/>
    </row>
    <row r="16" spans="1:9" x14ac:dyDescent="0.25">
      <c r="H16" s="69"/>
    </row>
    <row r="17" spans="1:5" ht="18.600000000000001" customHeight="1" x14ac:dyDescent="0.3">
      <c r="A17" s="90" t="s">
        <v>91</v>
      </c>
      <c r="B17" s="52"/>
      <c r="C17" s="52"/>
      <c r="D17" s="52"/>
      <c r="E17" s="52"/>
    </row>
    <row r="18" spans="1:5" ht="30" x14ac:dyDescent="0.25">
      <c r="A18" s="95" t="s">
        <v>108</v>
      </c>
      <c r="B18" s="45" t="s">
        <v>71</v>
      </c>
      <c r="C18" s="45" t="s">
        <v>112</v>
      </c>
      <c r="D18" s="45" t="s">
        <v>102</v>
      </c>
      <c r="E18" s="98" t="s">
        <v>81</v>
      </c>
    </row>
    <row r="19" spans="1:5" x14ac:dyDescent="0.25">
      <c r="A19" s="61" t="s">
        <v>61</v>
      </c>
      <c r="B19" s="135">
        <f>'2a_Ermittlung_Lastenradverkäufe'!M43</f>
        <v>31.249627881661549</v>
      </c>
      <c r="C19" s="65">
        <f t="shared" ref="C19:C27" si="1">31.2*E3</f>
        <v>29.25</v>
      </c>
      <c r="D19" s="10">
        <v>0.2</v>
      </c>
      <c r="E19" s="44">
        <f>C19*(1-D19)</f>
        <v>23.400000000000002</v>
      </c>
    </row>
    <row r="20" spans="1:5" x14ac:dyDescent="0.25">
      <c r="A20" s="61" t="s">
        <v>55</v>
      </c>
      <c r="B20" s="136"/>
      <c r="C20" s="65">
        <f t="shared" si="1"/>
        <v>35.1</v>
      </c>
      <c r="D20" s="10">
        <v>0.3</v>
      </c>
      <c r="E20" s="44">
        <f t="shared" ref="E20:E27" si="2">C20*(1-D20)</f>
        <v>24.57</v>
      </c>
    </row>
    <row r="21" spans="1:5" x14ac:dyDescent="0.25">
      <c r="A21" s="61" t="s">
        <v>60</v>
      </c>
      <c r="B21" s="136"/>
      <c r="C21" s="65">
        <f t="shared" si="1"/>
        <v>43.875</v>
      </c>
      <c r="D21" s="10">
        <v>0.75</v>
      </c>
      <c r="E21" s="44">
        <f t="shared" si="2"/>
        <v>10.96875</v>
      </c>
    </row>
    <row r="22" spans="1:5" x14ac:dyDescent="0.25">
      <c r="A22" s="62" t="s">
        <v>118</v>
      </c>
      <c r="B22" s="136"/>
      <c r="C22" s="65">
        <f t="shared" si="1"/>
        <v>31.2</v>
      </c>
      <c r="D22" s="10">
        <v>0.5</v>
      </c>
      <c r="E22" s="44">
        <f t="shared" si="2"/>
        <v>15.6</v>
      </c>
    </row>
    <row r="23" spans="1:5" x14ac:dyDescent="0.25">
      <c r="A23" s="61" t="s">
        <v>117</v>
      </c>
      <c r="B23" s="136"/>
      <c r="C23" s="65">
        <f t="shared" si="1"/>
        <v>14.625</v>
      </c>
      <c r="D23" s="10">
        <v>0.3</v>
      </c>
      <c r="E23" s="44">
        <f t="shared" si="2"/>
        <v>10.237499999999999</v>
      </c>
    </row>
    <row r="24" spans="1:5" ht="30" x14ac:dyDescent="0.25">
      <c r="A24" s="61" t="s">
        <v>59</v>
      </c>
      <c r="B24" s="136"/>
      <c r="C24" s="65">
        <f t="shared" si="1"/>
        <v>21.9375</v>
      </c>
      <c r="D24" s="10">
        <v>0.5</v>
      </c>
      <c r="E24" s="44">
        <f t="shared" si="2"/>
        <v>10.96875</v>
      </c>
    </row>
    <row r="25" spans="1:5" x14ac:dyDescent="0.25">
      <c r="A25" s="61" t="s">
        <v>58</v>
      </c>
      <c r="B25" s="136"/>
      <c r="C25" s="65">
        <f t="shared" si="1"/>
        <v>35.1</v>
      </c>
      <c r="D25" s="10">
        <v>0.95</v>
      </c>
      <c r="E25" s="44">
        <f t="shared" si="2"/>
        <v>1.7550000000000017</v>
      </c>
    </row>
    <row r="26" spans="1:5" ht="14.45" customHeight="1" x14ac:dyDescent="0.25">
      <c r="A26" s="61" t="s">
        <v>56</v>
      </c>
      <c r="B26" s="136"/>
      <c r="C26" s="65">
        <f t="shared" si="1"/>
        <v>14.625</v>
      </c>
      <c r="D26" s="10">
        <v>0.75</v>
      </c>
      <c r="E26" s="44">
        <f t="shared" si="2"/>
        <v>3.65625</v>
      </c>
    </row>
    <row r="27" spans="1:5" x14ac:dyDescent="0.25">
      <c r="A27" s="61" t="s">
        <v>57</v>
      </c>
      <c r="B27" s="137"/>
      <c r="C27" s="65">
        <f t="shared" si="1"/>
        <v>17.55</v>
      </c>
      <c r="D27" s="10">
        <v>1</v>
      </c>
      <c r="E27" s="44">
        <f t="shared" si="2"/>
        <v>0</v>
      </c>
    </row>
    <row r="31" spans="1:5" x14ac:dyDescent="0.25">
      <c r="A31" s="9" t="s">
        <v>62</v>
      </c>
    </row>
    <row r="32" spans="1:5" x14ac:dyDescent="0.25">
      <c r="A32" s="41" t="s">
        <v>64</v>
      </c>
    </row>
    <row r="33" spans="1:3" x14ac:dyDescent="0.25">
      <c r="A33" s="41" t="s">
        <v>63</v>
      </c>
    </row>
    <row r="42" spans="1:3" x14ac:dyDescent="0.25">
      <c r="C42" s="66"/>
    </row>
    <row r="43" spans="1:3" x14ac:dyDescent="0.25">
      <c r="C43" s="66"/>
    </row>
    <row r="44" spans="1:3" x14ac:dyDescent="0.25">
      <c r="C44" s="66"/>
    </row>
    <row r="45" spans="1:3" x14ac:dyDescent="0.25">
      <c r="C45" s="66"/>
    </row>
    <row r="46" spans="1:3" x14ac:dyDescent="0.25">
      <c r="C46" s="66"/>
    </row>
    <row r="47" spans="1:3" x14ac:dyDescent="0.25">
      <c r="C47" s="66"/>
    </row>
    <row r="51" spans="2:2" x14ac:dyDescent="0.25">
      <c r="B51" s="66"/>
    </row>
    <row r="52" spans="2:2" x14ac:dyDescent="0.25">
      <c r="B52" s="66"/>
    </row>
    <row r="53" spans="2:2" x14ac:dyDescent="0.25">
      <c r="B53" s="66"/>
    </row>
    <row r="54" spans="2:2" x14ac:dyDescent="0.25">
      <c r="B54" s="66"/>
    </row>
    <row r="55" spans="2:2" x14ac:dyDescent="0.25">
      <c r="B55" s="66"/>
    </row>
    <row r="56" spans="2:2" x14ac:dyDescent="0.25">
      <c r="B56" s="66"/>
    </row>
  </sheetData>
  <protectedRanges>
    <protectedRange sqref="B3:D11" name="Quartiersspezifische Besitzquote"/>
  </protectedRanges>
  <mergeCells count="5">
    <mergeCell ref="B19:B27"/>
    <mergeCell ref="H2:I2"/>
    <mergeCell ref="E2:F2"/>
    <mergeCell ref="B14:D14"/>
    <mergeCell ref="H8:I11"/>
  </mergeCells>
  <hyperlinks>
    <hyperlink ref="A33" r:id="rId1" xr:uid="{40DE7556-AAF5-485C-BFA7-A25B9D128D00}"/>
    <hyperlink ref="A32" r:id="rId2" xr:uid="{34C6967B-5927-4EED-91FC-FBAF8DC28D5A}"/>
  </hyperlinks>
  <pageMargins left="0.7" right="0.7" top="0.78740157499999996" bottom="0.78740157499999996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ALADIN-Tool</vt:lpstr>
      <vt:lpstr>1_Überblick Berechnungsschritte</vt:lpstr>
      <vt:lpstr>2a_Ermittlung_Lastenradverkäufe</vt:lpstr>
      <vt:lpstr>2b_Ermittlung_Besitzquote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hille</dc:creator>
  <cp:lastModifiedBy>hille</cp:lastModifiedBy>
  <cp:lastPrinted>2021-05-11T14:21:49Z</cp:lastPrinted>
  <dcterms:created xsi:type="dcterms:W3CDTF">2021-05-11T09:26:54Z</dcterms:created>
  <dcterms:modified xsi:type="dcterms:W3CDTF">2022-05-05T08:25:29Z</dcterms:modified>
</cp:coreProperties>
</file>